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8595" windowHeight="10770" activeTab="0"/>
  </bookViews>
  <sheets>
    <sheet name="Patrol Scores - Web Posting" sheetId="1" r:id="rId1"/>
  </sheets>
  <definedNames/>
  <calcPr fullCalcOnLoad="1"/>
</workbook>
</file>

<file path=xl/sharedStrings.xml><?xml version="1.0" encoding="utf-8"?>
<sst xmlns="http://schemas.openxmlformats.org/spreadsheetml/2006/main" count="728" uniqueCount="327">
  <si>
    <t>Leader</t>
  </si>
  <si>
    <t>A</t>
  </si>
  <si>
    <t>B</t>
  </si>
  <si>
    <t>D</t>
  </si>
  <si>
    <t>E</t>
  </si>
  <si>
    <t>F</t>
  </si>
  <si>
    <t>G</t>
  </si>
  <si>
    <t>H</t>
  </si>
  <si>
    <t>I</t>
  </si>
  <si>
    <t>K</t>
  </si>
  <si>
    <t>M</t>
  </si>
  <si>
    <t>O</t>
  </si>
  <si>
    <t>P</t>
  </si>
  <si>
    <t>Q</t>
  </si>
  <si>
    <t>R</t>
  </si>
  <si>
    <t>S</t>
  </si>
  <si>
    <t>T</t>
  </si>
  <si>
    <t>V</t>
  </si>
  <si>
    <t>W</t>
  </si>
  <si>
    <t>X</t>
  </si>
  <si>
    <t>Add</t>
  </si>
  <si>
    <t>Total</t>
  </si>
  <si>
    <t>Hike No.</t>
  </si>
  <si>
    <t>Sub-Total</t>
  </si>
  <si>
    <t>Hike Patrol Name</t>
  </si>
  <si>
    <t>J</t>
  </si>
  <si>
    <t>L2</t>
  </si>
  <si>
    <t>1st Poco Scouts</t>
  </si>
  <si>
    <t>10th Coq</t>
  </si>
  <si>
    <t>UBC Rovers</t>
  </si>
  <si>
    <t>21st S Surrey</t>
  </si>
  <si>
    <t>28th Kits Venturers</t>
  </si>
  <si>
    <t>25th Dunbar Venturers</t>
  </si>
  <si>
    <t>188th E Van Venturers</t>
  </si>
  <si>
    <t>13th Invincables - Venturers</t>
  </si>
  <si>
    <t>1st Gibsons Venturers</t>
  </si>
  <si>
    <t>Troop 945 Washington</t>
  </si>
  <si>
    <t>BP Rangers</t>
  </si>
  <si>
    <t>116th E Van Venturers</t>
  </si>
  <si>
    <t>33rd Kerrisdale Venturers</t>
  </si>
  <si>
    <t>1st Haney Venturers</t>
  </si>
  <si>
    <t>=adding correct</t>
  </si>
  <si>
    <t>=adding incorect</t>
  </si>
  <si>
    <t>=adding not done</t>
  </si>
  <si>
    <t>10 points</t>
  </si>
  <si>
    <t>0 points</t>
  </si>
  <si>
    <t>bonus marks not counted</t>
  </si>
  <si>
    <t>9 points</t>
  </si>
  <si>
    <t>Z</t>
  </si>
  <si>
    <t>N</t>
  </si>
  <si>
    <t>U</t>
  </si>
  <si>
    <t>Y</t>
  </si>
  <si>
    <t>1st South Vancouver Company - PCC</t>
  </si>
  <si>
    <t>9th Northview Scouts (B) - BBY</t>
  </si>
  <si>
    <t>9th Northview Scouts (A) - BBY</t>
  </si>
  <si>
    <t>25th Dunbar (2)</t>
  </si>
  <si>
    <t>188th E Van  - PCC</t>
  </si>
  <si>
    <t>1st South Van. Rovers</t>
  </si>
  <si>
    <t>1st BBY</t>
  </si>
  <si>
    <t>6th &amp; 20th West Whalley</t>
  </si>
  <si>
    <t>11th Seymour Venturers</t>
  </si>
  <si>
    <t>12th New West Venturers</t>
  </si>
  <si>
    <t>1st Port Moody Venturers</t>
  </si>
  <si>
    <t>99th St Francis Xavier Venturers</t>
  </si>
  <si>
    <t>46th Chown Venturers</t>
  </si>
  <si>
    <t>Place 2006</t>
  </si>
  <si>
    <t>Place 2007</t>
  </si>
  <si>
    <t>31st Dunbar (1)</t>
  </si>
  <si>
    <t>Council</t>
  </si>
  <si>
    <t>PCC</t>
  </si>
  <si>
    <t>FVC</t>
  </si>
  <si>
    <t>G-LGHD</t>
  </si>
  <si>
    <t>BSA-STL</t>
  </si>
  <si>
    <t>CASC</t>
  </si>
  <si>
    <t>19th Seymour</t>
  </si>
  <si>
    <t>G-DLRY</t>
  </si>
  <si>
    <t>21st St Mary's/43rd Knox</t>
  </si>
  <si>
    <t>G-WPG</t>
  </si>
  <si>
    <t>1st Yennadon Scouts</t>
  </si>
  <si>
    <t>3rd Boundary Bay Cubs Hawk Pack(1)</t>
  </si>
  <si>
    <t>G-FDA</t>
  </si>
  <si>
    <t>33rd Richmond "A"</t>
  </si>
  <si>
    <t>1st Gibsons Scouts "A"</t>
  </si>
  <si>
    <t>1st Gibsons Scouts "B"</t>
  </si>
  <si>
    <t>G-CHM</t>
  </si>
  <si>
    <t>1st Cultas Lake Navigator Chicks</t>
  </si>
  <si>
    <t>12th New West</t>
  </si>
  <si>
    <t>15th Capilano  (A)</t>
  </si>
  <si>
    <t>15th Capilano  (B)</t>
  </si>
  <si>
    <t>22nd Nehacko (Prince George)</t>
  </si>
  <si>
    <t>1st Nicomekl Pathfinders</t>
  </si>
  <si>
    <t>11th E Whalley/Guildford Vents</t>
  </si>
  <si>
    <t>15th Maquinna Vents/Rovers</t>
  </si>
  <si>
    <t>1st SW Burnaby Scouts (B)</t>
  </si>
  <si>
    <t>1st SW Burnaby Scouts (A)</t>
  </si>
  <si>
    <t>Troop 1485 Redmond Wa.</t>
  </si>
  <si>
    <t>BSA-TOT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</si>
  <si>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</si>
  <si>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</si>
  <si>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</si>
  <si>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</si>
  <si>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</si>
  <si>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</si>
  <si>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</si>
  <si>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</si>
  <si>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</si>
  <si>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</si>
  <si>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</si>
  <si>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</si>
  <si>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</si>
  <si>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</si>
  <si>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</si>
  <si>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</si>
  <si>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</si>
  <si>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</si>
  <si>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</si>
  <si>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</si>
  <si>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</si>
  <si>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</si>
  <si>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</si>
  <si>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</si>
  <si>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</si>
  <si>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</si>
  <si>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</si>
  <si>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</si>
  <si>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</si>
  <si>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</si>
  <si>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</si>
  <si>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</si>
  <si>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</si>
  <si>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</si>
  <si>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</si>
  <si>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</si>
  <si>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</si>
  <si>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</si>
  <si>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</si>
  <si>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</si>
  <si>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</si>
  <si>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</si>
  <si>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</si>
  <si>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</si>
  <si>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</si>
  <si>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</si>
  <si>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</si>
  <si>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</si>
  <si>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</si>
  <si>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</si>
  <si>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</si>
  <si>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</si>
  <si>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</si>
  <si>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</si>
  <si>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</si>
  <si>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</si>
  <si>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</si>
  <si>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</si>
  <si>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</si>
  <si>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</si>
  <si>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</si>
  <si>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</si>
  <si>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</si>
  <si>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</si>
  <si>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</si>
  <si>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</si>
  <si>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</si>
  <si>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</si>
  <si>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</si>
  <si>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</si>
  <si>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</si>
  <si>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</si>
  <si>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</si>
  <si>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</si>
  <si>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</si>
  <si>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</si>
  <si>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87</t>
  </si>
  <si>
    <t>88</t>
  </si>
  <si>
    <t>89</t>
  </si>
  <si>
    <t>91</t>
  </si>
  <si>
    <t>92</t>
  </si>
  <si>
    <t>95</t>
  </si>
  <si>
    <t>97</t>
  </si>
  <si>
    <t>100</t>
  </si>
  <si>
    <t>102</t>
  </si>
  <si>
    <t>107</t>
  </si>
  <si>
    <t>109</t>
  </si>
  <si>
    <t>110</t>
  </si>
  <si>
    <t>112</t>
  </si>
  <si>
    <t>Place 2008</t>
  </si>
  <si>
    <t>L1</t>
  </si>
  <si>
    <t>C1</t>
  </si>
  <si>
    <t>C2</t>
  </si>
  <si>
    <t>3rd West Van. Scouts</t>
  </si>
  <si>
    <t>Troop 945 Seatle "Eagles"</t>
  </si>
  <si>
    <t>13th South West BBY</t>
  </si>
  <si>
    <t>Sumas Mtn Crewpany</t>
  </si>
  <si>
    <t>2nd Sitka Pathfinders</t>
  </si>
  <si>
    <t>33rd Richmond "B"</t>
  </si>
  <si>
    <t>2nd Prince George "Revolvers"</t>
  </si>
  <si>
    <t>2nd Prince George "Scorpions"</t>
  </si>
  <si>
    <t>1st Laityview (A)</t>
  </si>
  <si>
    <t>1st Laityview (B)</t>
  </si>
  <si>
    <t>25th Dunbar (1)</t>
  </si>
  <si>
    <t>21st Capilano (A)</t>
  </si>
  <si>
    <t>Troop 945 Seatle "Champions"</t>
  </si>
  <si>
    <t>31st &amp; 21st Capilano</t>
  </si>
  <si>
    <t>18th Seymour Scouts "Rodzy Vetrans"</t>
  </si>
  <si>
    <t>18th Seymour Scouts "Bad Touch"</t>
  </si>
  <si>
    <t>1st Vedder Mtn Rangers</t>
  </si>
  <si>
    <t>05</t>
  </si>
  <si>
    <t>06</t>
  </si>
  <si>
    <t>07</t>
  </si>
  <si>
    <t>09</t>
  </si>
  <si>
    <t>04</t>
  </si>
  <si>
    <t>03</t>
  </si>
  <si>
    <t>02</t>
  </si>
  <si>
    <t>01</t>
  </si>
  <si>
    <t>1st Cntr Lk BBY "Pink Flaming Flamingos"</t>
  </si>
  <si>
    <t>1st Cntr Lk BBY "Darkside"</t>
  </si>
  <si>
    <t>2nd Como Lk Pthf. "Wubba Duckies"</t>
  </si>
  <si>
    <t>2nd Como Lk Pthf "Noxious Fumes"</t>
  </si>
  <si>
    <t>4th Eagle Mtn. Pthf "Cookie Monsters"</t>
  </si>
  <si>
    <t>58th Van. &amp; 1st Eagle Mtn. Pthf.</t>
  </si>
  <si>
    <t>1st Glenayre (2) "Screaming Mongoose"</t>
  </si>
  <si>
    <t>Gibson Girl Guides</t>
  </si>
  <si>
    <t>138th East Van "Orca"</t>
  </si>
  <si>
    <t>21st Pacific Spirit</t>
  </si>
  <si>
    <t>30th North Shore Area (cubs)</t>
  </si>
  <si>
    <t>30th Seymour Cubs</t>
  </si>
  <si>
    <t>1st Pt Moody Venturers</t>
  </si>
  <si>
    <t>L</t>
  </si>
  <si>
    <t>22nd Nehacko (P.G.) "Randomly Pink"</t>
  </si>
  <si>
    <t>10th Pathfinders "Reese Pieces"</t>
  </si>
  <si>
    <t>52</t>
  </si>
  <si>
    <t>59</t>
  </si>
  <si>
    <t>63</t>
  </si>
  <si>
    <t>74</t>
  </si>
  <si>
    <t>81</t>
  </si>
  <si>
    <t>86</t>
  </si>
  <si>
    <t>90</t>
  </si>
  <si>
    <t>93</t>
  </si>
  <si>
    <t>94</t>
  </si>
  <si>
    <t>96</t>
  </si>
  <si>
    <t>98</t>
  </si>
  <si>
    <t>11th Central Surrey Scouts</t>
  </si>
  <si>
    <t>46th Chown (A) "Boolangers"</t>
  </si>
  <si>
    <t>46th Chown (B) "Eagle"</t>
  </si>
  <si>
    <t>08</t>
  </si>
  <si>
    <t>41</t>
  </si>
  <si>
    <t>31st Burnaby Royal Pathfinders</t>
  </si>
  <si>
    <t>G-BBYROY</t>
  </si>
  <si>
    <t>28th Kitsilano Scouts</t>
  </si>
  <si>
    <t>21st South Surrey Scouts</t>
  </si>
  <si>
    <t>33rd St Matthias "Hurry Up"</t>
  </si>
  <si>
    <t>33rd St Matthias "Early Birds"</t>
  </si>
  <si>
    <t>33rd St Matthias "Hardcore"</t>
  </si>
  <si>
    <t>33rd St Matthias "2 Hardcore"</t>
  </si>
  <si>
    <t>9th Sr. Branch Eagle Mtn. Guides "Bullfrog"</t>
  </si>
  <si>
    <t>G-EGL</t>
  </si>
  <si>
    <t>1-J</t>
  </si>
  <si>
    <t>1st Pt Moody Scouts</t>
  </si>
  <si>
    <t>G-FHD</t>
  </si>
  <si>
    <t>Red Hot Girl Guides - Peace Arch</t>
  </si>
  <si>
    <t>6th Edmonds Pathfinders</t>
  </si>
  <si>
    <t>G-EDM</t>
  </si>
  <si>
    <t>19th Richmond Scouts (A)</t>
  </si>
  <si>
    <t>19th Richmond Scouts (B)</t>
  </si>
  <si>
    <t>3-K</t>
  </si>
  <si>
    <t>30th Seymour Scouts</t>
  </si>
  <si>
    <t>69th Knights of Kensington Scouts (A)</t>
  </si>
  <si>
    <t>69th Knights of Kensington "Grizzlys"</t>
  </si>
  <si>
    <t>6th West Whalley</t>
  </si>
  <si>
    <t>10th Coquitlam</t>
  </si>
  <si>
    <t>3rd Hyde Crk Rangers</t>
  </si>
  <si>
    <t>116th E Van (Success) (A) Ivy - Owl</t>
  </si>
  <si>
    <t>116th E Van (Success) (C) Denys</t>
  </si>
  <si>
    <t>116th E Van (Success) (B) Brandon</t>
  </si>
  <si>
    <t xml:space="preserve">4th Northview </t>
  </si>
  <si>
    <t>6th Peace Arch</t>
  </si>
  <si>
    <t>1st Simiahmoo</t>
  </si>
  <si>
    <t>2nd Langley  Mavericks (A)</t>
  </si>
  <si>
    <t>2nd Langley  Mavericks (B)</t>
  </si>
  <si>
    <t>1st Departure Bay "Unknown Islanders"</t>
  </si>
  <si>
    <t>12th Nazarene Scouts</t>
  </si>
  <si>
    <t>3rd Nicomekl Guides</t>
  </si>
  <si>
    <t>G-PARCH</t>
  </si>
  <si>
    <t xml:space="preserve">5th Port Coquitlam </t>
  </si>
  <si>
    <t>9th St thomas</t>
  </si>
  <si>
    <t>11th Seymour Cubs "?????"</t>
  </si>
  <si>
    <t>6th St Agnes</t>
  </si>
  <si>
    <t>1st Ladysmith Scouts (lost mark sheet)</t>
  </si>
  <si>
    <t>21st Surdel  (lost mark sheet)</t>
  </si>
  <si>
    <t>1st &amp; 3rd Clovrdale Venturers</t>
  </si>
  <si>
    <t>2nd Sitka CaJuRa</t>
  </si>
  <si>
    <t>6th Central Surrey Venturers</t>
  </si>
  <si>
    <t>6th Central Surrey Rovers</t>
  </si>
  <si>
    <t>Favorite Station</t>
  </si>
  <si>
    <t>1st Favorite Station</t>
  </si>
  <si>
    <t>2nd Favorite Station</t>
  </si>
  <si>
    <t>3rd Favorite Station</t>
  </si>
  <si>
    <t>Average age of Youngest hike group</t>
  </si>
  <si>
    <t>Average age of Oldest hike group</t>
  </si>
  <si>
    <t>16.8 yrs</t>
  </si>
  <si>
    <t>9 yrs</t>
  </si>
  <si>
    <t>Station with least visits (41)</t>
  </si>
  <si>
    <t>Station with most visits (78)</t>
  </si>
  <si>
    <t>Number of hike groups</t>
  </si>
  <si>
    <t>Number of hikers (excuding leaders)</t>
  </si>
  <si>
    <t>Hike groups to complete 28 stations</t>
  </si>
  <si>
    <t>Youngest group to complete 28 stns.</t>
  </si>
  <si>
    <t>11.66 yrs</t>
  </si>
  <si>
    <t>21st Capilano</t>
  </si>
  <si>
    <t>Interesting stats.</t>
  </si>
  <si>
    <t>1st Glenayre "Coming Around the Mountaineers"</t>
  </si>
  <si>
    <t>visits</t>
  </si>
  <si>
    <t>rank</t>
  </si>
  <si>
    <t>Overall winner</t>
  </si>
  <si>
    <t>Overall Total</t>
  </si>
  <si>
    <t>Count</t>
  </si>
  <si>
    <t>average age factor=</t>
  </si>
  <si>
    <t>average age</t>
  </si>
  <si>
    <t>Winner corrected for average age</t>
  </si>
  <si>
    <t>stations completed</t>
  </si>
  <si>
    <t>Average age of hike group</t>
  </si>
  <si>
    <t>Total corrected for avrg age</t>
  </si>
  <si>
    <t>Place corrected for average age</t>
  </si>
  <si>
    <t>2</t>
  </si>
  <si>
    <t>3</t>
  </si>
  <si>
    <t>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</si>
</sst>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00"/>
    <numFmt numFmtId="166" formatCode="00000"/>
    <numFmt numFmtId="167" formatCode="000.0"/>
    <numFmt numFmtId="168" formatCode="0.000"/>
    <numFmt numFmtId="169" formatCode="0.00000"/>
    <numFmt numFmtId="170" formatCode="0.0000"/>
    <numFmt numFmtId="171" formatCode="0.0"/>
  </numFmts>
  <fonts count="2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1"/>
      <name val="Arial"/>
      <family val="2"/>
    </font>
    <font>
      <sz val="6"/>
      <name val="Arial Narrow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 wrapText="1"/>
    </xf>
    <xf numFmtId="1" fontId="0" fillId="0" borderId="3" xfId="0" applyNumberFormat="1" applyBorder="1" applyAlignment="1">
      <alignment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9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wrapText="1"/>
    </xf>
    <xf numFmtId="2" fontId="9" fillId="6" borderId="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1" fillId="0" borderId="1" xfId="0" applyFont="1" applyFill="1" applyBorder="1" applyAlignment="1">
      <alignment/>
    </xf>
    <xf numFmtId="49" fontId="12" fillId="6" borderId="10" xfId="0" applyNumberFormat="1" applyFont="1" applyFill="1" applyBorder="1" applyAlignment="1">
      <alignment horizontal="center" vertical="center" wrapText="1"/>
    </xf>
    <xf numFmtId="49" fontId="12" fillId="6" borderId="8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71" fontId="7" fillId="0" borderId="2" xfId="0" applyNumberFormat="1" applyFont="1" applyBorder="1" applyAlignment="1">
      <alignment horizontal="center" textRotation="90" wrapText="1"/>
    </xf>
    <xf numFmtId="171" fontId="2" fillId="6" borderId="8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2" fillId="0" borderId="7" xfId="0" applyNumberFormat="1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2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13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1" fontId="1" fillId="0" borderId="2" xfId="0" applyNumberFormat="1" applyFont="1" applyFill="1" applyBorder="1" applyAlignment="1" quotePrefix="1">
      <alignment/>
    </xf>
    <xf numFmtId="1" fontId="1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center" textRotation="90"/>
    </xf>
    <xf numFmtId="49" fontId="8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" fontId="10" fillId="6" borderId="16" xfId="0" applyNumberFormat="1" applyFont="1" applyFill="1" applyBorder="1" applyAlignment="1">
      <alignment horizontal="center"/>
    </xf>
    <xf numFmtId="1" fontId="10" fillId="6" borderId="17" xfId="0" applyNumberFormat="1" applyFont="1" applyFill="1" applyBorder="1" applyAlignment="1">
      <alignment horizontal="center"/>
    </xf>
    <xf numFmtId="1" fontId="10" fillId="6" borderId="18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1" fillId="2" borderId="1" xfId="0" applyFont="1" applyFill="1" applyBorder="1" applyAlignment="1">
      <alignment/>
    </xf>
    <xf numFmtId="0" fontId="13" fillId="0" borderId="19" xfId="0" applyFont="1" applyBorder="1" applyAlignment="1">
      <alignment/>
    </xf>
    <xf numFmtId="1" fontId="8" fillId="0" borderId="23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9" fillId="6" borderId="8" xfId="0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/>
    </xf>
    <xf numFmtId="17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>
      <alignment/>
    </xf>
    <xf numFmtId="49" fontId="15" fillId="0" borderId="12" xfId="0" applyNumberFormat="1" applyFont="1" applyBorder="1" applyAlignment="1">
      <alignment/>
    </xf>
    <xf numFmtId="1" fontId="12" fillId="2" borderId="9" xfId="0" applyNumberFormat="1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 horizontal="center"/>
    </xf>
    <xf numFmtId="171" fontId="2" fillId="2" borderId="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5" fillId="0" borderId="23" xfId="0" applyFont="1" applyBorder="1" applyAlignment="1">
      <alignment horizontal="center" textRotation="90"/>
    </xf>
    <xf numFmtId="171" fontId="7" fillId="0" borderId="15" xfId="0" applyNumberFormat="1" applyFont="1" applyBorder="1" applyAlignment="1">
      <alignment horizontal="center" textRotation="90" wrapText="1"/>
    </xf>
    <xf numFmtId="2" fontId="0" fillId="0" borderId="0" xfId="0" applyNumberFormat="1" applyAlignment="1">
      <alignment/>
    </xf>
    <xf numFmtId="0" fontId="19" fillId="0" borderId="24" xfId="0" applyFont="1" applyBorder="1" applyAlignment="1">
      <alignment horizontal="center" textRotation="90"/>
    </xf>
    <xf numFmtId="2" fontId="20" fillId="0" borderId="24" xfId="0" applyNumberFormat="1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/>
    </xf>
    <xf numFmtId="171" fontId="21" fillId="0" borderId="24" xfId="0" applyNumberFormat="1" applyFont="1" applyBorder="1" applyAlignment="1">
      <alignment horizontal="center" textRotation="90" wrapText="1"/>
    </xf>
    <xf numFmtId="0" fontId="7" fillId="5" borderId="7" xfId="0" applyFont="1" applyFill="1" applyBorder="1" applyAlignment="1">
      <alignment/>
    </xf>
    <xf numFmtId="49" fontId="10" fillId="6" borderId="8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4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13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3" fillId="0" borderId="23" xfId="0" applyFont="1" applyBorder="1" applyAlignment="1">
      <alignment/>
    </xf>
    <xf numFmtId="0" fontId="1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5"/>
  <sheetViews>
    <sheetView tabSelected="1" zoomScale="95" zoomScaleNormal="95" workbookViewId="0" topLeftCell="A1">
      <selection activeCell="Z108" sqref="Z108"/>
    </sheetView>
  </sheetViews>
  <sheetFormatPr defaultColWidth="9.140625" defaultRowHeight="12.75"/>
  <cols>
    <col min="1" max="1" width="2.57421875" style="2" customWidth="1"/>
    <col min="2" max="3" width="3.28125" style="2" customWidth="1"/>
    <col min="4" max="4" width="3.28125" style="136" customWidth="1"/>
    <col min="5" max="5" width="4.28125" style="14" customWidth="1"/>
    <col min="6" max="6" width="29.8515625" style="0" customWidth="1"/>
    <col min="7" max="7" width="0.13671875" style="0" hidden="1" customWidth="1"/>
    <col min="8" max="8" width="7.00390625" style="10" customWidth="1"/>
    <col min="9" max="12" width="2.8515625" style="0" customWidth="1"/>
    <col min="13" max="34" width="2.7109375" style="0" customWidth="1"/>
    <col min="35" max="35" width="2.8515625" style="0" customWidth="1"/>
    <col min="36" max="36" width="2.7109375" style="0" customWidth="1"/>
    <col min="37" max="37" width="3.57421875" style="0" customWidth="1"/>
    <col min="38" max="38" width="4.57421875" style="39" customWidth="1"/>
    <col min="39" max="39" width="6.00390625" style="0" customWidth="1"/>
    <col min="40" max="40" width="3.57421875" style="0" customWidth="1"/>
    <col min="41" max="41" width="5.421875" style="50" customWidth="1"/>
    <col min="42" max="42" width="5.28125" style="50" customWidth="1"/>
    <col min="43" max="43" width="3.00390625" style="0" customWidth="1"/>
    <col min="44" max="44" width="4.00390625" style="4" customWidth="1"/>
    <col min="46" max="46" width="5.140625" style="0" customWidth="1"/>
    <col min="47" max="47" width="11.421875" style="0" customWidth="1"/>
    <col min="48" max="48" width="5.7109375" style="0" customWidth="1"/>
  </cols>
  <sheetData>
    <row r="1" spans="1:44" s="9" customFormat="1" ht="125.25" customHeight="1" thickBot="1">
      <c r="A1" s="124" t="s">
        <v>65</v>
      </c>
      <c r="B1" s="19" t="s">
        <v>66</v>
      </c>
      <c r="C1" s="89" t="s">
        <v>186</v>
      </c>
      <c r="D1" s="20" t="s">
        <v>323</v>
      </c>
      <c r="E1" s="16"/>
      <c r="F1" s="17"/>
      <c r="G1" s="17"/>
      <c r="H1" s="18"/>
      <c r="I1" s="20" t="s">
        <v>33</v>
      </c>
      <c r="J1" s="20" t="s">
        <v>28</v>
      </c>
      <c r="K1" s="20" t="s">
        <v>57</v>
      </c>
      <c r="L1" s="20" t="s">
        <v>290</v>
      </c>
      <c r="M1" s="20" t="s">
        <v>29</v>
      </c>
      <c r="N1" s="20" t="s">
        <v>30</v>
      </c>
      <c r="O1" s="20" t="s">
        <v>32</v>
      </c>
      <c r="P1" s="20" t="s">
        <v>58</v>
      </c>
      <c r="Q1" s="20" t="s">
        <v>31</v>
      </c>
      <c r="R1" s="20" t="s">
        <v>59</v>
      </c>
      <c r="S1" s="20" t="s">
        <v>34</v>
      </c>
      <c r="T1" s="20" t="s">
        <v>35</v>
      </c>
      <c r="U1" s="20" t="s">
        <v>36</v>
      </c>
      <c r="V1" s="20" t="s">
        <v>291</v>
      </c>
      <c r="W1" s="20" t="s">
        <v>60</v>
      </c>
      <c r="X1" s="20" t="s">
        <v>292</v>
      </c>
      <c r="Y1" s="20" t="s">
        <v>40</v>
      </c>
      <c r="Z1" s="20" t="s">
        <v>37</v>
      </c>
      <c r="AA1" s="20" t="s">
        <v>61</v>
      </c>
      <c r="AB1" s="20" t="s">
        <v>38</v>
      </c>
      <c r="AC1" s="20" t="s">
        <v>193</v>
      </c>
      <c r="AD1" s="20" t="s">
        <v>62</v>
      </c>
      <c r="AE1" s="20" t="s">
        <v>92</v>
      </c>
      <c r="AF1" s="20" t="s">
        <v>293</v>
      </c>
      <c r="AG1" s="20" t="s">
        <v>91</v>
      </c>
      <c r="AH1" s="20" t="s">
        <v>63</v>
      </c>
      <c r="AI1" s="20" t="s">
        <v>39</v>
      </c>
      <c r="AJ1" s="20" t="s">
        <v>64</v>
      </c>
      <c r="AK1" s="127" t="s">
        <v>320</v>
      </c>
      <c r="AL1" s="128" t="s">
        <v>321</v>
      </c>
      <c r="AM1" s="130"/>
      <c r="AN1" s="21"/>
      <c r="AO1" s="129" t="s">
        <v>315</v>
      </c>
      <c r="AP1" s="131" t="s">
        <v>322</v>
      </c>
      <c r="AQ1" s="47" t="s">
        <v>294</v>
      </c>
      <c r="AR1" s="125" t="s">
        <v>46</v>
      </c>
    </row>
    <row r="2" spans="1:44" ht="29.25" customHeight="1" thickBot="1">
      <c r="A2" s="41"/>
      <c r="B2" s="42"/>
      <c r="C2" s="33"/>
      <c r="D2" s="133"/>
      <c r="E2" s="33" t="s">
        <v>22</v>
      </c>
      <c r="F2" s="34" t="s">
        <v>24</v>
      </c>
      <c r="G2" s="34" t="s">
        <v>0</v>
      </c>
      <c r="H2" s="34" t="s">
        <v>68</v>
      </c>
      <c r="I2" s="34" t="s">
        <v>1</v>
      </c>
      <c r="J2" s="34" t="s">
        <v>2</v>
      </c>
      <c r="K2" s="34" t="s">
        <v>188</v>
      </c>
      <c r="L2" s="34" t="s">
        <v>189</v>
      </c>
      <c r="M2" s="34" t="s">
        <v>3</v>
      </c>
      <c r="N2" s="34" t="s">
        <v>4</v>
      </c>
      <c r="O2" s="34" t="s">
        <v>5</v>
      </c>
      <c r="P2" s="34" t="s">
        <v>6</v>
      </c>
      <c r="Q2" s="34" t="s">
        <v>7</v>
      </c>
      <c r="R2" s="34" t="s">
        <v>8</v>
      </c>
      <c r="S2" s="34" t="s">
        <v>25</v>
      </c>
      <c r="T2" s="34" t="s">
        <v>9</v>
      </c>
      <c r="U2" s="34" t="s">
        <v>187</v>
      </c>
      <c r="V2" s="34" t="s">
        <v>26</v>
      </c>
      <c r="W2" s="34" t="s">
        <v>10</v>
      </c>
      <c r="X2" s="34" t="s">
        <v>49</v>
      </c>
      <c r="Y2" s="34" t="s">
        <v>11</v>
      </c>
      <c r="Z2" s="34" t="s">
        <v>12</v>
      </c>
      <c r="AA2" s="34" t="s">
        <v>13</v>
      </c>
      <c r="AB2" s="34" t="s">
        <v>14</v>
      </c>
      <c r="AC2" s="34" t="s">
        <v>15</v>
      </c>
      <c r="AD2" s="34" t="s">
        <v>16</v>
      </c>
      <c r="AE2" s="34" t="s">
        <v>50</v>
      </c>
      <c r="AF2" s="34" t="s">
        <v>17</v>
      </c>
      <c r="AG2" s="34" t="s">
        <v>18</v>
      </c>
      <c r="AH2" s="34" t="s">
        <v>19</v>
      </c>
      <c r="AI2" s="34" t="s">
        <v>51</v>
      </c>
      <c r="AJ2" s="34" t="s">
        <v>48</v>
      </c>
      <c r="AK2" s="34"/>
      <c r="AL2" s="37"/>
      <c r="AM2" s="34" t="s">
        <v>23</v>
      </c>
      <c r="AN2" s="111" t="s">
        <v>20</v>
      </c>
      <c r="AO2" s="48" t="s">
        <v>21</v>
      </c>
      <c r="AP2" s="48"/>
      <c r="AQ2" s="35"/>
      <c r="AR2" s="36"/>
    </row>
    <row r="3" spans="1:48" ht="13.5">
      <c r="A3" s="43">
        <v>4</v>
      </c>
      <c r="B3" s="44" t="s">
        <v>98</v>
      </c>
      <c r="C3" s="30" t="s">
        <v>97</v>
      </c>
      <c r="D3" s="134" t="s">
        <v>110</v>
      </c>
      <c r="E3" s="31" t="s">
        <v>115</v>
      </c>
      <c r="F3" s="32" t="s">
        <v>227</v>
      </c>
      <c r="G3" s="32"/>
      <c r="H3" s="77" t="s">
        <v>70</v>
      </c>
      <c r="I3" s="78">
        <v>25</v>
      </c>
      <c r="J3" s="78">
        <v>25</v>
      </c>
      <c r="K3" s="78">
        <v>23</v>
      </c>
      <c r="L3" s="78">
        <v>25</v>
      </c>
      <c r="M3" s="78">
        <v>25</v>
      </c>
      <c r="N3" s="78">
        <v>25</v>
      </c>
      <c r="O3" s="78">
        <v>25</v>
      </c>
      <c r="P3" s="78">
        <v>25</v>
      </c>
      <c r="Q3" s="78">
        <v>25</v>
      </c>
      <c r="R3" s="78">
        <v>23</v>
      </c>
      <c r="S3" s="78">
        <v>25</v>
      </c>
      <c r="T3" s="78">
        <v>25</v>
      </c>
      <c r="U3" s="78">
        <v>25</v>
      </c>
      <c r="V3" s="78">
        <v>25</v>
      </c>
      <c r="W3" s="78">
        <v>25</v>
      </c>
      <c r="X3" s="78">
        <v>21</v>
      </c>
      <c r="Y3" s="78">
        <v>25</v>
      </c>
      <c r="Z3" s="78">
        <v>25</v>
      </c>
      <c r="AA3" s="78">
        <v>25</v>
      </c>
      <c r="AB3" s="78">
        <v>25</v>
      </c>
      <c r="AC3" s="78">
        <v>25</v>
      </c>
      <c r="AD3" s="78">
        <v>25</v>
      </c>
      <c r="AE3" s="78">
        <v>25</v>
      </c>
      <c r="AF3" s="78">
        <v>24</v>
      </c>
      <c r="AG3" s="78">
        <v>23</v>
      </c>
      <c r="AH3" s="78">
        <v>25</v>
      </c>
      <c r="AI3" s="78">
        <v>25</v>
      </c>
      <c r="AJ3" s="78">
        <v>25</v>
      </c>
      <c r="AK3" s="78">
        <f>COUNTA(I3:AJ3)</f>
        <v>28</v>
      </c>
      <c r="AL3" s="79">
        <v>15</v>
      </c>
      <c r="AM3" s="80">
        <f aca="true" t="shared" si="0" ref="AM3:AM99">SUM(I3:AJ3)</f>
        <v>689</v>
      </c>
      <c r="AN3" s="132">
        <v>9</v>
      </c>
      <c r="AO3" s="51">
        <f>SUM(AM3:AN3)</f>
        <v>698</v>
      </c>
      <c r="AP3" s="49">
        <f>+AO3/AL3*$AV$6</f>
        <v>580.1861159671691</v>
      </c>
      <c r="AQ3" s="11" t="s">
        <v>16</v>
      </c>
      <c r="AR3" s="22"/>
      <c r="AS3" s="5"/>
      <c r="AT3" s="6" t="s">
        <v>41</v>
      </c>
      <c r="AV3" t="s">
        <v>44</v>
      </c>
    </row>
    <row r="4" spans="1:48" ht="13.5">
      <c r="A4" s="43">
        <v>81</v>
      </c>
      <c r="B4" s="45" t="s">
        <v>97</v>
      </c>
      <c r="C4" s="12" t="s">
        <v>324</v>
      </c>
      <c r="D4" s="134" t="s">
        <v>111</v>
      </c>
      <c r="E4" s="13" t="s">
        <v>207</v>
      </c>
      <c r="F4" s="1" t="s">
        <v>193</v>
      </c>
      <c r="G4" s="1"/>
      <c r="H4" s="81" t="s">
        <v>70</v>
      </c>
      <c r="I4" s="82">
        <v>25</v>
      </c>
      <c r="J4" s="82">
        <v>25</v>
      </c>
      <c r="K4" s="82">
        <v>16</v>
      </c>
      <c r="L4" s="82">
        <v>22</v>
      </c>
      <c r="M4" s="82">
        <v>22</v>
      </c>
      <c r="N4" s="82">
        <v>23</v>
      </c>
      <c r="O4" s="82">
        <v>20</v>
      </c>
      <c r="P4" s="82">
        <v>25</v>
      </c>
      <c r="Q4" s="82">
        <v>25</v>
      </c>
      <c r="R4" s="82">
        <v>25</v>
      </c>
      <c r="S4" s="82">
        <v>25</v>
      </c>
      <c r="T4" s="82">
        <v>25</v>
      </c>
      <c r="U4" s="82">
        <v>25</v>
      </c>
      <c r="V4" s="82">
        <v>25</v>
      </c>
      <c r="W4" s="82">
        <v>25</v>
      </c>
      <c r="X4" s="82">
        <v>25</v>
      </c>
      <c r="Y4" s="82">
        <v>25</v>
      </c>
      <c r="Z4" s="82">
        <v>25</v>
      </c>
      <c r="AA4" s="82">
        <v>25</v>
      </c>
      <c r="AB4" s="82">
        <v>25</v>
      </c>
      <c r="AC4" s="82">
        <v>25</v>
      </c>
      <c r="AD4" s="82">
        <v>24</v>
      </c>
      <c r="AE4" s="82">
        <v>22</v>
      </c>
      <c r="AF4" s="82">
        <v>25</v>
      </c>
      <c r="AG4" s="82">
        <v>25</v>
      </c>
      <c r="AH4" s="82">
        <v>25</v>
      </c>
      <c r="AI4" s="82">
        <v>25</v>
      </c>
      <c r="AJ4" s="82">
        <v>25</v>
      </c>
      <c r="AK4" s="82">
        <f aca="true" t="shared" si="1" ref="AK4:AK100">COUNTA(I4:AJ4)</f>
        <v>28</v>
      </c>
      <c r="AL4" s="83">
        <v>15</v>
      </c>
      <c r="AM4" s="84">
        <f t="shared" si="0"/>
        <v>674</v>
      </c>
      <c r="AN4" s="121">
        <v>10</v>
      </c>
      <c r="AO4" s="52">
        <f aca="true" t="shared" si="2" ref="AO4:AO99">SUM(AM4:AN4)</f>
        <v>684</v>
      </c>
      <c r="AP4" s="49">
        <f aca="true" t="shared" si="3" ref="AP4:AP100">+AO4/AL4*$AV$6</f>
        <v>568.5491451598048</v>
      </c>
      <c r="AQ4" s="11" t="s">
        <v>2</v>
      </c>
      <c r="AR4" s="22"/>
      <c r="AS4" s="8"/>
      <c r="AT4" s="6" t="s">
        <v>42</v>
      </c>
      <c r="AV4" t="s">
        <v>47</v>
      </c>
    </row>
    <row r="5" spans="1:48" ht="13.5">
      <c r="A5" s="43"/>
      <c r="B5" s="45" t="s">
        <v>99</v>
      </c>
      <c r="C5" s="12" t="s">
        <v>325</v>
      </c>
      <c r="D5" s="134" t="s">
        <v>105</v>
      </c>
      <c r="E5" s="13" t="s">
        <v>159</v>
      </c>
      <c r="F5" s="1" t="s">
        <v>220</v>
      </c>
      <c r="G5" s="1"/>
      <c r="H5" s="81" t="s">
        <v>77</v>
      </c>
      <c r="I5" s="82">
        <v>25</v>
      </c>
      <c r="J5" s="82">
        <v>25</v>
      </c>
      <c r="K5" s="82">
        <v>22</v>
      </c>
      <c r="L5" s="82">
        <v>25</v>
      </c>
      <c r="M5" s="82">
        <v>20</v>
      </c>
      <c r="N5" s="82">
        <v>24</v>
      </c>
      <c r="O5" s="82">
        <v>22</v>
      </c>
      <c r="P5" s="82">
        <v>25</v>
      </c>
      <c r="Q5" s="82">
        <v>25</v>
      </c>
      <c r="R5" s="82">
        <v>25</v>
      </c>
      <c r="S5" s="82">
        <v>23</v>
      </c>
      <c r="T5" s="82">
        <v>25</v>
      </c>
      <c r="U5" s="82">
        <v>25</v>
      </c>
      <c r="V5" s="82">
        <v>25</v>
      </c>
      <c r="W5" s="82">
        <v>22</v>
      </c>
      <c r="X5" s="82">
        <v>25</v>
      </c>
      <c r="Y5" s="82">
        <v>25</v>
      </c>
      <c r="Z5" s="82">
        <v>24</v>
      </c>
      <c r="AA5" s="82">
        <v>25</v>
      </c>
      <c r="AB5" s="82">
        <v>25</v>
      </c>
      <c r="AC5" s="82">
        <v>25</v>
      </c>
      <c r="AD5" s="82">
        <v>24</v>
      </c>
      <c r="AE5" s="82">
        <v>20</v>
      </c>
      <c r="AF5" s="82">
        <v>24</v>
      </c>
      <c r="AG5" s="82">
        <v>23</v>
      </c>
      <c r="AH5" s="82">
        <v>25</v>
      </c>
      <c r="AI5" s="82">
        <v>25</v>
      </c>
      <c r="AJ5" s="82">
        <v>25</v>
      </c>
      <c r="AK5" s="82">
        <f t="shared" si="1"/>
        <v>28</v>
      </c>
      <c r="AL5" s="83">
        <f>+(14.5+14+14+13+12+14+14+17)/8</f>
        <v>14.0625</v>
      </c>
      <c r="AM5" s="84">
        <f>SUM(I5:AJ5)</f>
        <v>673</v>
      </c>
      <c r="AN5" s="121">
        <v>10</v>
      </c>
      <c r="AO5" s="52">
        <f>SUM(AM5:AN5)</f>
        <v>683</v>
      </c>
      <c r="AP5" s="49">
        <f t="shared" si="3"/>
        <v>605.5657951565639</v>
      </c>
      <c r="AQ5" s="11"/>
      <c r="AR5" s="22"/>
      <c r="AS5" s="7"/>
      <c r="AT5" s="6" t="s">
        <v>43</v>
      </c>
      <c r="AV5" t="s">
        <v>45</v>
      </c>
    </row>
    <row r="6" spans="1:48" ht="13.5">
      <c r="A6" s="43"/>
      <c r="B6" s="45"/>
      <c r="C6" s="12" t="s">
        <v>326</v>
      </c>
      <c r="D6" s="134" t="s">
        <v>114</v>
      </c>
      <c r="E6" s="13" t="s">
        <v>232</v>
      </c>
      <c r="F6" s="107" t="s">
        <v>255</v>
      </c>
      <c r="G6" s="1"/>
      <c r="H6" s="81" t="s">
        <v>256</v>
      </c>
      <c r="I6" s="82">
        <v>25</v>
      </c>
      <c r="J6" s="82">
        <v>23</v>
      </c>
      <c r="K6" s="82">
        <v>23</v>
      </c>
      <c r="L6" s="82">
        <v>20</v>
      </c>
      <c r="M6" s="82">
        <v>25</v>
      </c>
      <c r="N6" s="82">
        <v>24</v>
      </c>
      <c r="O6" s="82">
        <v>21</v>
      </c>
      <c r="P6" s="82">
        <v>25</v>
      </c>
      <c r="Q6" s="82">
        <v>25</v>
      </c>
      <c r="R6" s="82">
        <v>25</v>
      </c>
      <c r="S6" s="82">
        <v>25</v>
      </c>
      <c r="T6" s="82">
        <v>21</v>
      </c>
      <c r="U6" s="82">
        <v>25</v>
      </c>
      <c r="V6" s="82">
        <v>25</v>
      </c>
      <c r="W6" s="82">
        <v>20</v>
      </c>
      <c r="X6" s="82">
        <v>25</v>
      </c>
      <c r="Y6" s="82">
        <v>25</v>
      </c>
      <c r="Z6" s="82">
        <v>25</v>
      </c>
      <c r="AA6" s="82">
        <v>25</v>
      </c>
      <c r="AB6" s="82">
        <v>25</v>
      </c>
      <c r="AC6" s="82">
        <v>20</v>
      </c>
      <c r="AD6" s="82">
        <v>25</v>
      </c>
      <c r="AE6" s="82">
        <v>22</v>
      </c>
      <c r="AF6" s="82">
        <v>25</v>
      </c>
      <c r="AG6" s="82">
        <v>25</v>
      </c>
      <c r="AH6" s="82">
        <v>25</v>
      </c>
      <c r="AI6" s="82">
        <v>23</v>
      </c>
      <c r="AJ6" s="82">
        <v>25</v>
      </c>
      <c r="AK6" s="82">
        <f t="shared" si="1"/>
        <v>28</v>
      </c>
      <c r="AL6" s="83">
        <f>+(17+17+16+13+13)/5</f>
        <v>15.2</v>
      </c>
      <c r="AM6" s="84">
        <f t="shared" si="0"/>
        <v>667</v>
      </c>
      <c r="AN6" s="122">
        <v>9</v>
      </c>
      <c r="AO6" s="52">
        <f t="shared" si="2"/>
        <v>676</v>
      </c>
      <c r="AP6" s="49">
        <f t="shared" si="3"/>
        <v>554.5060337719702</v>
      </c>
      <c r="AQ6" s="11" t="s">
        <v>6</v>
      </c>
      <c r="AR6" s="22" t="s">
        <v>257</v>
      </c>
      <c r="AT6" t="s">
        <v>317</v>
      </c>
      <c r="AV6" s="126">
        <f>+AL101</f>
        <v>12.468183007890456</v>
      </c>
    </row>
    <row r="7" spans="1:44" ht="13.5">
      <c r="A7" s="43"/>
      <c r="B7" s="45" t="s">
        <v>111</v>
      </c>
      <c r="C7" s="12" t="s">
        <v>98</v>
      </c>
      <c r="D7" s="134" t="s">
        <v>326</v>
      </c>
      <c r="E7" s="13" t="s">
        <v>118</v>
      </c>
      <c r="F7" s="1" t="s">
        <v>218</v>
      </c>
      <c r="G7" s="1"/>
      <c r="H7" s="81" t="s">
        <v>71</v>
      </c>
      <c r="I7" s="82">
        <v>24</v>
      </c>
      <c r="J7" s="82">
        <v>25</v>
      </c>
      <c r="K7" s="82">
        <v>19</v>
      </c>
      <c r="L7" s="82">
        <v>21</v>
      </c>
      <c r="M7" s="82">
        <v>21</v>
      </c>
      <c r="N7" s="82">
        <v>24</v>
      </c>
      <c r="O7" s="82">
        <v>22</v>
      </c>
      <c r="P7" s="82">
        <v>25</v>
      </c>
      <c r="Q7" s="82">
        <v>25</v>
      </c>
      <c r="R7" s="82">
        <v>25</v>
      </c>
      <c r="S7" s="82">
        <v>24</v>
      </c>
      <c r="T7" s="82">
        <v>25</v>
      </c>
      <c r="U7" s="82">
        <v>25</v>
      </c>
      <c r="V7" s="82">
        <v>25</v>
      </c>
      <c r="W7" s="82">
        <v>24</v>
      </c>
      <c r="X7" s="82">
        <v>25</v>
      </c>
      <c r="Y7" s="82">
        <v>25</v>
      </c>
      <c r="Z7" s="82">
        <v>25</v>
      </c>
      <c r="AA7" s="82">
        <v>25</v>
      </c>
      <c r="AB7" s="82">
        <v>25</v>
      </c>
      <c r="AC7" s="82">
        <v>23</v>
      </c>
      <c r="AD7" s="82">
        <v>25</v>
      </c>
      <c r="AE7" s="82">
        <v>20</v>
      </c>
      <c r="AF7" s="82">
        <v>20</v>
      </c>
      <c r="AG7" s="82">
        <v>23</v>
      </c>
      <c r="AH7" s="82">
        <v>24</v>
      </c>
      <c r="AI7" s="82">
        <v>25</v>
      </c>
      <c r="AJ7" s="82">
        <v>25</v>
      </c>
      <c r="AK7" s="82">
        <f t="shared" si="1"/>
        <v>28</v>
      </c>
      <c r="AL7" s="83">
        <v>13</v>
      </c>
      <c r="AM7" s="84">
        <f t="shared" si="0"/>
        <v>664</v>
      </c>
      <c r="AN7" s="122">
        <v>9</v>
      </c>
      <c r="AO7" s="52">
        <f t="shared" si="2"/>
        <v>673</v>
      </c>
      <c r="AP7" s="49">
        <f t="shared" si="3"/>
        <v>645.4682434084829</v>
      </c>
      <c r="AQ7" s="11" t="s">
        <v>16</v>
      </c>
      <c r="AR7" s="22"/>
    </row>
    <row r="8" spans="1:44" ht="13.5">
      <c r="A8" s="43"/>
      <c r="B8" s="45" t="s">
        <v>100</v>
      </c>
      <c r="C8" s="12" t="s">
        <v>99</v>
      </c>
      <c r="D8" s="134" t="s">
        <v>104</v>
      </c>
      <c r="E8" s="13" t="s">
        <v>144</v>
      </c>
      <c r="F8" s="1" t="s">
        <v>254</v>
      </c>
      <c r="G8" s="1"/>
      <c r="H8" s="81" t="s">
        <v>69</v>
      </c>
      <c r="I8" s="82">
        <v>20</v>
      </c>
      <c r="J8" s="82">
        <v>24</v>
      </c>
      <c r="K8" s="82">
        <v>21</v>
      </c>
      <c r="L8" s="82">
        <v>20</v>
      </c>
      <c r="M8" s="82">
        <v>24</v>
      </c>
      <c r="N8" s="82">
        <v>18</v>
      </c>
      <c r="O8" s="82">
        <v>21</v>
      </c>
      <c r="P8" s="82">
        <v>25</v>
      </c>
      <c r="Q8" s="82">
        <v>25</v>
      </c>
      <c r="R8" s="82">
        <v>18</v>
      </c>
      <c r="S8" s="82">
        <v>22</v>
      </c>
      <c r="T8" s="82">
        <v>25</v>
      </c>
      <c r="U8" s="82">
        <v>25</v>
      </c>
      <c r="V8" s="82">
        <v>25</v>
      </c>
      <c r="W8" s="82">
        <v>25</v>
      </c>
      <c r="X8" s="82">
        <v>25</v>
      </c>
      <c r="Y8" s="82">
        <v>25</v>
      </c>
      <c r="Z8" s="82">
        <v>25</v>
      </c>
      <c r="AA8" s="82">
        <v>25</v>
      </c>
      <c r="AB8" s="82">
        <v>25</v>
      </c>
      <c r="AC8" s="82">
        <v>25</v>
      </c>
      <c r="AD8" s="82">
        <v>25</v>
      </c>
      <c r="AE8" s="82">
        <v>20</v>
      </c>
      <c r="AF8" s="82">
        <v>25</v>
      </c>
      <c r="AG8" s="82">
        <v>25</v>
      </c>
      <c r="AH8" s="82">
        <v>25</v>
      </c>
      <c r="AI8" s="82">
        <v>25</v>
      </c>
      <c r="AJ8" s="82">
        <v>25</v>
      </c>
      <c r="AK8" s="82">
        <f>COUNTA(I8:AJ8)</f>
        <v>28</v>
      </c>
      <c r="AL8" s="83">
        <f>+(15+14+15+11)/4</f>
        <v>13.75</v>
      </c>
      <c r="AM8" s="84">
        <f>SUM(I8:AJ8)</f>
        <v>658</v>
      </c>
      <c r="AN8" s="121">
        <v>10</v>
      </c>
      <c r="AO8" s="52">
        <f>SUM(AM8:AN8)</f>
        <v>668</v>
      </c>
      <c r="AP8" s="49">
        <f>+AO8/AL8*$AV$6</f>
        <v>605.726999946969</v>
      </c>
      <c r="AQ8" s="11" t="s">
        <v>9</v>
      </c>
      <c r="AR8" s="22"/>
    </row>
    <row r="9" spans="1:44" ht="13.5">
      <c r="A9" s="43"/>
      <c r="B9" s="45" t="s">
        <v>98</v>
      </c>
      <c r="C9" s="12" t="s">
        <v>100</v>
      </c>
      <c r="D9" s="134" t="s">
        <v>324</v>
      </c>
      <c r="E9" s="13" t="s">
        <v>152</v>
      </c>
      <c r="F9" s="1" t="s">
        <v>258</v>
      </c>
      <c r="G9" s="1"/>
      <c r="H9" s="81" t="s">
        <v>70</v>
      </c>
      <c r="I9" s="82">
        <v>21</v>
      </c>
      <c r="J9" s="82">
        <v>24</v>
      </c>
      <c r="K9" s="82">
        <v>13</v>
      </c>
      <c r="L9" s="82">
        <v>25</v>
      </c>
      <c r="M9" s="82">
        <v>21</v>
      </c>
      <c r="N9" s="82">
        <v>19</v>
      </c>
      <c r="O9" s="82">
        <v>23</v>
      </c>
      <c r="P9" s="82">
        <v>25</v>
      </c>
      <c r="Q9" s="82">
        <v>25</v>
      </c>
      <c r="R9" s="82">
        <v>24</v>
      </c>
      <c r="S9" s="82">
        <v>23</v>
      </c>
      <c r="T9" s="82">
        <v>24</v>
      </c>
      <c r="U9" s="82">
        <v>25</v>
      </c>
      <c r="V9" s="82">
        <v>25</v>
      </c>
      <c r="W9" s="82">
        <v>23</v>
      </c>
      <c r="X9" s="82">
        <v>25</v>
      </c>
      <c r="Y9" s="82">
        <v>25</v>
      </c>
      <c r="Z9" s="82">
        <v>25</v>
      </c>
      <c r="AA9" s="82">
        <v>25</v>
      </c>
      <c r="AB9" s="82">
        <v>25</v>
      </c>
      <c r="AC9" s="82">
        <v>25</v>
      </c>
      <c r="AD9" s="82">
        <v>23</v>
      </c>
      <c r="AE9" s="82">
        <v>22</v>
      </c>
      <c r="AF9" s="82">
        <v>23</v>
      </c>
      <c r="AG9" s="82">
        <v>24</v>
      </c>
      <c r="AH9" s="82">
        <v>25</v>
      </c>
      <c r="AI9" s="82">
        <v>24</v>
      </c>
      <c r="AJ9" s="82">
        <v>25</v>
      </c>
      <c r="AK9" s="82">
        <f t="shared" si="1"/>
        <v>28</v>
      </c>
      <c r="AL9" s="83">
        <f>+(13+12+12+12+11+11)/6</f>
        <v>11.833333333333334</v>
      </c>
      <c r="AM9" s="84">
        <f>SUM(I9:AJ9)</f>
        <v>656</v>
      </c>
      <c r="AN9" s="121">
        <v>10</v>
      </c>
      <c r="AO9" s="52">
        <f>SUM(AM9:AN9)</f>
        <v>666</v>
      </c>
      <c r="AP9" s="49">
        <f>+AO9/AL9*$AV$6</f>
        <v>701.7304126694403</v>
      </c>
      <c r="AQ9" s="11"/>
      <c r="AR9" s="22"/>
    </row>
    <row r="10" spans="1:44" ht="13.5">
      <c r="A10" s="43">
        <v>9</v>
      </c>
      <c r="B10" s="45" t="s">
        <v>108</v>
      </c>
      <c r="C10" s="12" t="s">
        <v>101</v>
      </c>
      <c r="D10" s="134" t="s">
        <v>178</v>
      </c>
      <c r="E10" s="13" t="s">
        <v>116</v>
      </c>
      <c r="F10" s="1" t="s">
        <v>190</v>
      </c>
      <c r="G10" s="1"/>
      <c r="H10" s="81" t="s">
        <v>69</v>
      </c>
      <c r="I10" s="82">
        <v>25</v>
      </c>
      <c r="J10" s="82">
        <v>23</v>
      </c>
      <c r="K10" s="82">
        <v>22</v>
      </c>
      <c r="L10" s="82">
        <v>23</v>
      </c>
      <c r="M10" s="82">
        <v>22</v>
      </c>
      <c r="N10" s="82">
        <v>25</v>
      </c>
      <c r="O10" s="82">
        <v>20</v>
      </c>
      <c r="P10" s="82">
        <v>25</v>
      </c>
      <c r="Q10" s="82">
        <v>25</v>
      </c>
      <c r="R10" s="82">
        <v>23</v>
      </c>
      <c r="S10" s="82">
        <v>21</v>
      </c>
      <c r="T10" s="82">
        <v>21</v>
      </c>
      <c r="U10" s="82">
        <v>22</v>
      </c>
      <c r="V10" s="82">
        <v>25</v>
      </c>
      <c r="W10" s="82">
        <v>22</v>
      </c>
      <c r="X10" s="82">
        <v>25</v>
      </c>
      <c r="Y10" s="82">
        <v>23</v>
      </c>
      <c r="Z10" s="82">
        <v>25</v>
      </c>
      <c r="AA10" s="82">
        <v>25</v>
      </c>
      <c r="AB10" s="82">
        <v>19</v>
      </c>
      <c r="AC10" s="82">
        <v>25</v>
      </c>
      <c r="AD10" s="82">
        <v>25</v>
      </c>
      <c r="AE10" s="82">
        <v>21</v>
      </c>
      <c r="AF10" s="82">
        <v>25</v>
      </c>
      <c r="AG10" s="82">
        <v>24</v>
      </c>
      <c r="AH10" s="82">
        <v>24</v>
      </c>
      <c r="AI10" s="82">
        <v>23</v>
      </c>
      <c r="AJ10" s="82">
        <v>25</v>
      </c>
      <c r="AK10" s="82">
        <f t="shared" si="1"/>
        <v>28</v>
      </c>
      <c r="AL10" s="83"/>
      <c r="AM10" s="84">
        <f>SUM(I10:AJ10)</f>
        <v>653</v>
      </c>
      <c r="AN10" s="121">
        <v>10</v>
      </c>
      <c r="AO10" s="52">
        <f>SUM(AM10:AN10)</f>
        <v>663</v>
      </c>
      <c r="AP10" s="49"/>
      <c r="AQ10" s="11" t="s">
        <v>13</v>
      </c>
      <c r="AR10" s="22"/>
    </row>
    <row r="11" spans="1:44" ht="13.5">
      <c r="A11" s="43">
        <v>10</v>
      </c>
      <c r="B11" s="45" t="s">
        <v>101</v>
      </c>
      <c r="C11" s="12" t="s">
        <v>102</v>
      </c>
      <c r="D11" s="134" t="s">
        <v>97</v>
      </c>
      <c r="E11" s="13" t="s">
        <v>213</v>
      </c>
      <c r="F11" s="1" t="s">
        <v>86</v>
      </c>
      <c r="G11" s="1"/>
      <c r="H11" s="81" t="s">
        <v>70</v>
      </c>
      <c r="I11" s="82">
        <v>23</v>
      </c>
      <c r="J11" s="82">
        <v>24</v>
      </c>
      <c r="K11" s="82">
        <v>22</v>
      </c>
      <c r="L11" s="82">
        <v>20</v>
      </c>
      <c r="M11" s="82">
        <v>24</v>
      </c>
      <c r="N11" s="82">
        <v>21</v>
      </c>
      <c r="O11" s="82">
        <v>22</v>
      </c>
      <c r="P11" s="82">
        <v>25</v>
      </c>
      <c r="Q11" s="82">
        <v>25</v>
      </c>
      <c r="R11" s="82">
        <v>23</v>
      </c>
      <c r="S11" s="82">
        <v>21</v>
      </c>
      <c r="T11" s="82">
        <v>24</v>
      </c>
      <c r="U11" s="82">
        <v>23</v>
      </c>
      <c r="V11" s="82">
        <v>25</v>
      </c>
      <c r="W11" s="82">
        <v>25</v>
      </c>
      <c r="X11" s="82">
        <v>25</v>
      </c>
      <c r="Y11" s="82">
        <v>25</v>
      </c>
      <c r="Z11" s="82">
        <v>25</v>
      </c>
      <c r="AA11" s="82">
        <v>25</v>
      </c>
      <c r="AB11" s="82">
        <v>21.5</v>
      </c>
      <c r="AC11" s="82">
        <v>17</v>
      </c>
      <c r="AD11" s="82">
        <v>25</v>
      </c>
      <c r="AE11" s="82">
        <v>17</v>
      </c>
      <c r="AF11" s="82">
        <v>25</v>
      </c>
      <c r="AG11" s="82">
        <v>24</v>
      </c>
      <c r="AH11" s="82">
        <v>25</v>
      </c>
      <c r="AI11" s="82">
        <v>22</v>
      </c>
      <c r="AJ11" s="82">
        <v>25</v>
      </c>
      <c r="AK11" s="82">
        <f t="shared" si="1"/>
        <v>28</v>
      </c>
      <c r="AL11" s="83">
        <v>11.66</v>
      </c>
      <c r="AM11" s="84">
        <f>SUM(I11:AJ11)</f>
        <v>648.5</v>
      </c>
      <c r="AN11" s="122">
        <v>9</v>
      </c>
      <c r="AO11" s="52">
        <f t="shared" si="2"/>
        <v>657.5</v>
      </c>
      <c r="AP11" s="49">
        <f>+AO11/AL11*$AV$6</f>
        <v>703.0729269029138</v>
      </c>
      <c r="AQ11" s="11" t="s">
        <v>9</v>
      </c>
      <c r="AR11" s="22"/>
    </row>
    <row r="12" spans="1:44" ht="13.5">
      <c r="A12" s="43"/>
      <c r="B12" s="45" t="s">
        <v>121</v>
      </c>
      <c r="C12" s="12" t="s">
        <v>103</v>
      </c>
      <c r="D12" s="134" t="s">
        <v>115</v>
      </c>
      <c r="E12" s="13" t="s">
        <v>209</v>
      </c>
      <c r="F12" s="1" t="s">
        <v>194</v>
      </c>
      <c r="G12" s="1"/>
      <c r="H12" s="81" t="s">
        <v>75</v>
      </c>
      <c r="I12" s="82">
        <v>24</v>
      </c>
      <c r="J12" s="82">
        <v>25</v>
      </c>
      <c r="K12" s="82">
        <v>16</v>
      </c>
      <c r="L12" s="82"/>
      <c r="M12" s="82">
        <v>21</v>
      </c>
      <c r="N12" s="82">
        <v>23</v>
      </c>
      <c r="O12" s="82">
        <v>22</v>
      </c>
      <c r="P12" s="82">
        <v>25</v>
      </c>
      <c r="Q12" s="82">
        <v>25</v>
      </c>
      <c r="R12" s="82">
        <v>25</v>
      </c>
      <c r="S12" s="82">
        <v>23</v>
      </c>
      <c r="T12" s="82">
        <v>25</v>
      </c>
      <c r="U12" s="82">
        <v>24</v>
      </c>
      <c r="V12" s="82">
        <v>25</v>
      </c>
      <c r="W12" s="82">
        <v>21</v>
      </c>
      <c r="X12" s="82">
        <v>25</v>
      </c>
      <c r="Y12" s="82">
        <v>25</v>
      </c>
      <c r="Z12" s="82">
        <v>25</v>
      </c>
      <c r="AA12" s="82">
        <v>25</v>
      </c>
      <c r="AB12" s="82">
        <v>25</v>
      </c>
      <c r="AC12" s="82">
        <v>25</v>
      </c>
      <c r="AD12" s="82">
        <v>25</v>
      </c>
      <c r="AE12" s="82">
        <v>22</v>
      </c>
      <c r="AF12" s="82">
        <v>25</v>
      </c>
      <c r="AG12" s="82">
        <v>25</v>
      </c>
      <c r="AH12" s="82">
        <v>25</v>
      </c>
      <c r="AI12" s="82">
        <v>23</v>
      </c>
      <c r="AJ12" s="82">
        <v>25</v>
      </c>
      <c r="AK12" s="82">
        <f t="shared" si="1"/>
        <v>27</v>
      </c>
      <c r="AL12" s="83">
        <v>15</v>
      </c>
      <c r="AM12" s="84">
        <f t="shared" si="0"/>
        <v>644</v>
      </c>
      <c r="AN12" s="121">
        <v>10</v>
      </c>
      <c r="AO12" s="52">
        <f t="shared" si="2"/>
        <v>654</v>
      </c>
      <c r="AP12" s="49">
        <f>+AO12/AL12*$AV$6</f>
        <v>543.6127791440239</v>
      </c>
      <c r="AQ12" s="11" t="s">
        <v>15</v>
      </c>
      <c r="AR12" s="22"/>
    </row>
    <row r="13" spans="1:44" ht="13.5">
      <c r="A13" s="43">
        <v>61</v>
      </c>
      <c r="B13" s="45" t="s">
        <v>232</v>
      </c>
      <c r="C13" s="12" t="s">
        <v>104</v>
      </c>
      <c r="D13" s="134" t="s">
        <v>107</v>
      </c>
      <c r="E13" s="13" t="s">
        <v>105</v>
      </c>
      <c r="F13" s="3" t="s">
        <v>223</v>
      </c>
      <c r="G13" s="3"/>
      <c r="H13" s="81" t="s">
        <v>69</v>
      </c>
      <c r="I13" s="82">
        <v>25</v>
      </c>
      <c r="J13" s="82">
        <v>23</v>
      </c>
      <c r="K13" s="82">
        <v>21</v>
      </c>
      <c r="L13" s="82">
        <v>18</v>
      </c>
      <c r="M13" s="82">
        <v>21</v>
      </c>
      <c r="N13" s="82">
        <v>22</v>
      </c>
      <c r="O13" s="82">
        <v>21</v>
      </c>
      <c r="P13" s="82">
        <v>25</v>
      </c>
      <c r="Q13" s="82">
        <v>24</v>
      </c>
      <c r="R13" s="82">
        <v>21</v>
      </c>
      <c r="S13" s="82">
        <v>20</v>
      </c>
      <c r="T13" s="82">
        <v>20</v>
      </c>
      <c r="U13" s="82">
        <v>24</v>
      </c>
      <c r="V13" s="82">
        <v>24</v>
      </c>
      <c r="W13" s="82">
        <v>20</v>
      </c>
      <c r="X13" s="82">
        <v>25</v>
      </c>
      <c r="Y13" s="82">
        <v>25</v>
      </c>
      <c r="Z13" s="82">
        <v>24</v>
      </c>
      <c r="AA13" s="82">
        <v>25</v>
      </c>
      <c r="AB13" s="82">
        <v>22</v>
      </c>
      <c r="AC13" s="82">
        <v>25</v>
      </c>
      <c r="AD13" s="82">
        <v>25</v>
      </c>
      <c r="AE13" s="82">
        <v>20</v>
      </c>
      <c r="AF13" s="82">
        <v>25</v>
      </c>
      <c r="AG13" s="82">
        <v>22</v>
      </c>
      <c r="AH13" s="82">
        <v>25</v>
      </c>
      <c r="AI13" s="82">
        <v>20</v>
      </c>
      <c r="AJ13" s="82">
        <v>25</v>
      </c>
      <c r="AK13" s="82">
        <f t="shared" si="1"/>
        <v>28</v>
      </c>
      <c r="AL13" s="83">
        <f>+(14+15+14+13+14+12+14+13)/8</f>
        <v>13.625</v>
      </c>
      <c r="AM13" s="84">
        <f t="shared" si="0"/>
        <v>637</v>
      </c>
      <c r="AN13" s="122">
        <v>9</v>
      </c>
      <c r="AO13" s="52">
        <f t="shared" si="2"/>
        <v>646</v>
      </c>
      <c r="AP13" s="49">
        <f>+AO13/AL13*$AV$6</f>
        <v>591.152016374109</v>
      </c>
      <c r="AQ13" s="11" t="s">
        <v>4</v>
      </c>
      <c r="AR13" s="22"/>
    </row>
    <row r="14" spans="1:44" ht="13.5">
      <c r="A14" s="43"/>
      <c r="B14" s="45" t="s">
        <v>109</v>
      </c>
      <c r="C14" s="12" t="s">
        <v>105</v>
      </c>
      <c r="D14" s="134" t="s">
        <v>100</v>
      </c>
      <c r="E14" s="13" t="s">
        <v>123</v>
      </c>
      <c r="F14" s="1" t="s">
        <v>76</v>
      </c>
      <c r="G14" s="1"/>
      <c r="H14" s="81" t="s">
        <v>69</v>
      </c>
      <c r="I14" s="82">
        <v>25</v>
      </c>
      <c r="J14" s="82">
        <v>23</v>
      </c>
      <c r="K14" s="82">
        <v>18</v>
      </c>
      <c r="L14" s="82">
        <v>18</v>
      </c>
      <c r="M14" s="82">
        <v>23</v>
      </c>
      <c r="N14" s="82">
        <v>21</v>
      </c>
      <c r="O14" s="82">
        <v>24</v>
      </c>
      <c r="P14" s="82">
        <v>25</v>
      </c>
      <c r="Q14" s="82">
        <v>22</v>
      </c>
      <c r="R14" s="82">
        <v>21</v>
      </c>
      <c r="S14" s="82">
        <v>22</v>
      </c>
      <c r="T14" s="82">
        <v>24</v>
      </c>
      <c r="U14" s="82">
        <v>24</v>
      </c>
      <c r="V14" s="82">
        <v>25</v>
      </c>
      <c r="W14" s="82">
        <v>18</v>
      </c>
      <c r="X14" s="82">
        <v>22</v>
      </c>
      <c r="Y14" s="82">
        <v>23</v>
      </c>
      <c r="Z14" s="82">
        <v>25</v>
      </c>
      <c r="AA14" s="82">
        <v>25</v>
      </c>
      <c r="AB14" s="82">
        <v>22.5</v>
      </c>
      <c r="AC14" s="82">
        <v>22</v>
      </c>
      <c r="AD14" s="82">
        <v>23</v>
      </c>
      <c r="AE14" s="82">
        <v>17</v>
      </c>
      <c r="AF14" s="82">
        <v>24.99</v>
      </c>
      <c r="AG14" s="82">
        <v>25</v>
      </c>
      <c r="AH14" s="82">
        <v>24</v>
      </c>
      <c r="AI14" s="82">
        <v>24</v>
      </c>
      <c r="AJ14" s="82">
        <v>25</v>
      </c>
      <c r="AK14" s="82">
        <f t="shared" si="1"/>
        <v>28</v>
      </c>
      <c r="AL14" s="83">
        <f>+(14+13+14+12+11+14)/6</f>
        <v>13</v>
      </c>
      <c r="AM14" s="84">
        <f t="shared" si="0"/>
        <v>635.49</v>
      </c>
      <c r="AN14" s="121">
        <v>10</v>
      </c>
      <c r="AO14" s="52">
        <f t="shared" si="2"/>
        <v>645.49</v>
      </c>
      <c r="AP14" s="49">
        <f>+AO14/AL14*$AV$6</f>
        <v>619.0836499817855</v>
      </c>
      <c r="AQ14" s="11" t="s">
        <v>189</v>
      </c>
      <c r="AR14" s="22"/>
    </row>
    <row r="15" spans="1:44" ht="13.5">
      <c r="A15" s="43">
        <v>40</v>
      </c>
      <c r="B15" s="45" t="s">
        <v>143</v>
      </c>
      <c r="C15" s="12" t="s">
        <v>106</v>
      </c>
      <c r="D15" s="134" t="s">
        <v>101</v>
      </c>
      <c r="E15" s="13" t="s">
        <v>165</v>
      </c>
      <c r="F15" s="1" t="s">
        <v>83</v>
      </c>
      <c r="G15" s="1"/>
      <c r="H15" s="81" t="s">
        <v>69</v>
      </c>
      <c r="I15" s="82">
        <v>25</v>
      </c>
      <c r="J15" s="82">
        <v>21</v>
      </c>
      <c r="K15" s="82">
        <v>25</v>
      </c>
      <c r="L15" s="82"/>
      <c r="M15" s="82">
        <v>22</v>
      </c>
      <c r="N15" s="82">
        <v>25</v>
      </c>
      <c r="O15" s="82">
        <v>3</v>
      </c>
      <c r="P15" s="82">
        <v>25</v>
      </c>
      <c r="Q15" s="82">
        <v>25</v>
      </c>
      <c r="R15" s="82">
        <v>24</v>
      </c>
      <c r="S15" s="82">
        <v>24.5</v>
      </c>
      <c r="T15" s="82">
        <v>25</v>
      </c>
      <c r="U15" s="82">
        <v>25</v>
      </c>
      <c r="V15" s="82">
        <v>25</v>
      </c>
      <c r="W15" s="82">
        <v>21</v>
      </c>
      <c r="X15" s="82">
        <v>25</v>
      </c>
      <c r="Y15" s="82">
        <v>25</v>
      </c>
      <c r="Z15" s="82">
        <v>25</v>
      </c>
      <c r="AA15" s="82">
        <v>25</v>
      </c>
      <c r="AB15" s="82">
        <v>25</v>
      </c>
      <c r="AC15" s="82">
        <v>25</v>
      </c>
      <c r="AD15" s="82">
        <v>25</v>
      </c>
      <c r="AE15" s="82">
        <v>22</v>
      </c>
      <c r="AF15" s="82">
        <v>24.99</v>
      </c>
      <c r="AG15" s="82">
        <v>25</v>
      </c>
      <c r="AH15" s="82">
        <v>25</v>
      </c>
      <c r="AI15" s="82">
        <v>25</v>
      </c>
      <c r="AJ15" s="82">
        <v>25</v>
      </c>
      <c r="AK15" s="82">
        <f t="shared" si="1"/>
        <v>27</v>
      </c>
      <c r="AL15" s="83">
        <f>+(14+12+13+14+13+13+11)/7</f>
        <v>12.857142857142858</v>
      </c>
      <c r="AM15" s="84">
        <f>SUM(I15:AJ15)</f>
        <v>637.49</v>
      </c>
      <c r="AN15" s="123">
        <v>0</v>
      </c>
      <c r="AO15" s="52">
        <f>SUM(AM15:AN15)</f>
        <v>637.49</v>
      </c>
      <c r="AP15" s="49">
        <f t="shared" si="3"/>
        <v>618.2043766655622</v>
      </c>
      <c r="AQ15" s="11"/>
      <c r="AR15" s="22"/>
    </row>
    <row r="16" spans="1:44" ht="13.5">
      <c r="A16" s="43">
        <v>15</v>
      </c>
      <c r="B16" s="45" t="s">
        <v>103</v>
      </c>
      <c r="C16" s="12" t="s">
        <v>107</v>
      </c>
      <c r="D16" s="134" t="s">
        <v>103</v>
      </c>
      <c r="E16" s="13" t="s">
        <v>132</v>
      </c>
      <c r="F16" s="1" t="s">
        <v>243</v>
      </c>
      <c r="G16" s="1"/>
      <c r="H16" s="81" t="s">
        <v>69</v>
      </c>
      <c r="I16" s="82">
        <v>25</v>
      </c>
      <c r="J16" s="82">
        <v>25</v>
      </c>
      <c r="K16" s="82">
        <v>13</v>
      </c>
      <c r="L16" s="82">
        <v>18</v>
      </c>
      <c r="M16" s="82">
        <v>22</v>
      </c>
      <c r="N16" s="82">
        <v>22</v>
      </c>
      <c r="O16" s="82">
        <v>18</v>
      </c>
      <c r="P16" s="82">
        <v>23</v>
      </c>
      <c r="Q16" s="82">
        <v>25</v>
      </c>
      <c r="R16" s="82">
        <v>22</v>
      </c>
      <c r="S16" s="82">
        <v>21</v>
      </c>
      <c r="T16" s="82">
        <v>21</v>
      </c>
      <c r="U16" s="82">
        <v>25</v>
      </c>
      <c r="V16" s="82">
        <v>25</v>
      </c>
      <c r="W16" s="82">
        <v>15</v>
      </c>
      <c r="X16" s="82">
        <v>25</v>
      </c>
      <c r="Y16" s="82">
        <v>23</v>
      </c>
      <c r="Z16" s="82">
        <v>25</v>
      </c>
      <c r="AA16" s="82">
        <v>25</v>
      </c>
      <c r="AB16" s="82">
        <v>22</v>
      </c>
      <c r="AC16" s="82">
        <v>23</v>
      </c>
      <c r="AD16" s="82">
        <v>24</v>
      </c>
      <c r="AE16" s="82">
        <v>18</v>
      </c>
      <c r="AF16" s="82">
        <v>25</v>
      </c>
      <c r="AG16" s="82">
        <v>23</v>
      </c>
      <c r="AH16" s="82">
        <v>25</v>
      </c>
      <c r="AI16" s="82">
        <v>19</v>
      </c>
      <c r="AJ16" s="82">
        <v>25</v>
      </c>
      <c r="AK16" s="82">
        <f t="shared" si="1"/>
        <v>28</v>
      </c>
      <c r="AL16" s="83">
        <f>+(13+12+14+12+14)/5</f>
        <v>13</v>
      </c>
      <c r="AM16" s="84">
        <f t="shared" si="0"/>
        <v>622</v>
      </c>
      <c r="AN16" s="121">
        <v>10</v>
      </c>
      <c r="AO16" s="52">
        <f t="shared" si="2"/>
        <v>632</v>
      </c>
      <c r="AP16" s="49">
        <f t="shared" si="3"/>
        <v>606.1455123835975</v>
      </c>
      <c r="AQ16" s="11" t="s">
        <v>189</v>
      </c>
      <c r="AR16" s="22"/>
    </row>
    <row r="17" spans="1:44" ht="13.5">
      <c r="A17" s="43"/>
      <c r="B17" s="45"/>
      <c r="C17" s="12" t="s">
        <v>108</v>
      </c>
      <c r="D17" s="134" t="s">
        <v>98</v>
      </c>
      <c r="E17" s="13" t="s">
        <v>245</v>
      </c>
      <c r="F17" s="1" t="s">
        <v>222</v>
      </c>
      <c r="G17" s="1"/>
      <c r="H17" s="81" t="s">
        <v>73</v>
      </c>
      <c r="I17" s="82"/>
      <c r="J17" s="82">
        <v>25</v>
      </c>
      <c r="K17" s="82">
        <v>16</v>
      </c>
      <c r="L17" s="82">
        <v>21</v>
      </c>
      <c r="M17" s="82">
        <v>21</v>
      </c>
      <c r="N17" s="82">
        <v>22</v>
      </c>
      <c r="O17" s="82">
        <v>24</v>
      </c>
      <c r="P17" s="82">
        <v>22</v>
      </c>
      <c r="Q17" s="82">
        <v>24</v>
      </c>
      <c r="R17" s="82">
        <v>24</v>
      </c>
      <c r="S17" s="82">
        <v>21</v>
      </c>
      <c r="T17" s="82">
        <v>25</v>
      </c>
      <c r="U17" s="82">
        <v>25</v>
      </c>
      <c r="V17" s="82">
        <v>25</v>
      </c>
      <c r="W17" s="82">
        <v>18</v>
      </c>
      <c r="X17" s="82">
        <v>25</v>
      </c>
      <c r="Y17" s="82">
        <v>23</v>
      </c>
      <c r="Z17" s="82">
        <v>24</v>
      </c>
      <c r="AA17" s="82">
        <v>25</v>
      </c>
      <c r="AB17" s="82">
        <v>25</v>
      </c>
      <c r="AC17" s="82">
        <v>21</v>
      </c>
      <c r="AD17" s="82">
        <v>25</v>
      </c>
      <c r="AE17" s="82">
        <v>19</v>
      </c>
      <c r="AF17" s="82">
        <v>25</v>
      </c>
      <c r="AG17" s="82">
        <v>25</v>
      </c>
      <c r="AH17" s="82">
        <v>25</v>
      </c>
      <c r="AI17" s="82">
        <v>22</v>
      </c>
      <c r="AJ17" s="82">
        <v>25</v>
      </c>
      <c r="AK17" s="82">
        <f t="shared" si="1"/>
        <v>27</v>
      </c>
      <c r="AL17" s="83">
        <v>12.2</v>
      </c>
      <c r="AM17" s="84">
        <f t="shared" si="0"/>
        <v>622</v>
      </c>
      <c r="AN17" s="122">
        <v>9</v>
      </c>
      <c r="AO17" s="52">
        <f t="shared" si="2"/>
        <v>631</v>
      </c>
      <c r="AP17" s="49">
        <f t="shared" si="3"/>
        <v>644.8707768835146</v>
      </c>
      <c r="AQ17" s="11"/>
      <c r="AR17" s="22"/>
    </row>
    <row r="18" spans="1:44" ht="13.5">
      <c r="A18" s="43"/>
      <c r="B18" s="45" t="s">
        <v>120</v>
      </c>
      <c r="C18" s="12" t="s">
        <v>109</v>
      </c>
      <c r="D18" s="134" t="s">
        <v>116</v>
      </c>
      <c r="E18" s="13" t="s">
        <v>231</v>
      </c>
      <c r="F18" s="1" t="s">
        <v>253</v>
      </c>
      <c r="G18" s="1"/>
      <c r="H18" s="81" t="s">
        <v>69</v>
      </c>
      <c r="I18" s="82"/>
      <c r="J18" s="82">
        <v>24</v>
      </c>
      <c r="K18" s="82">
        <v>14</v>
      </c>
      <c r="L18" s="82">
        <v>21</v>
      </c>
      <c r="M18" s="82">
        <v>23</v>
      </c>
      <c r="N18" s="82">
        <v>23</v>
      </c>
      <c r="O18" s="82">
        <v>21</v>
      </c>
      <c r="P18" s="82">
        <v>25</v>
      </c>
      <c r="Q18" s="82">
        <v>24</v>
      </c>
      <c r="R18" s="82">
        <v>23</v>
      </c>
      <c r="S18" s="82">
        <v>22</v>
      </c>
      <c r="T18" s="82">
        <v>25</v>
      </c>
      <c r="U18" s="82">
        <v>25</v>
      </c>
      <c r="V18" s="82">
        <v>25</v>
      </c>
      <c r="W18" s="82">
        <v>24</v>
      </c>
      <c r="X18" s="82">
        <v>25</v>
      </c>
      <c r="Y18" s="82">
        <v>25</v>
      </c>
      <c r="Z18" s="82">
        <v>25</v>
      </c>
      <c r="AA18" s="82">
        <v>25</v>
      </c>
      <c r="AB18" s="82">
        <v>25</v>
      </c>
      <c r="AC18" s="82">
        <v>25</v>
      </c>
      <c r="AD18" s="82">
        <v>24</v>
      </c>
      <c r="AE18" s="82">
        <v>18</v>
      </c>
      <c r="AF18" s="82">
        <v>18</v>
      </c>
      <c r="AG18" s="82">
        <v>22</v>
      </c>
      <c r="AH18" s="82">
        <v>24</v>
      </c>
      <c r="AI18" s="82">
        <v>25</v>
      </c>
      <c r="AJ18" s="82">
        <v>20</v>
      </c>
      <c r="AK18" s="82">
        <f t="shared" si="1"/>
        <v>27</v>
      </c>
      <c r="AL18" s="83">
        <f>+(14+14+15+15)/4</f>
        <v>14.5</v>
      </c>
      <c r="AM18" s="84">
        <f t="shared" si="0"/>
        <v>620</v>
      </c>
      <c r="AN18" s="121">
        <v>10</v>
      </c>
      <c r="AO18" s="52">
        <f t="shared" si="2"/>
        <v>630</v>
      </c>
      <c r="AP18" s="49">
        <f t="shared" si="3"/>
        <v>541.7210548255854</v>
      </c>
      <c r="AQ18" s="11" t="s">
        <v>189</v>
      </c>
      <c r="AR18" s="22"/>
    </row>
    <row r="19" spans="1:44" ht="13.5">
      <c r="A19" s="43"/>
      <c r="B19" s="45"/>
      <c r="C19" s="12" t="s">
        <v>110</v>
      </c>
      <c r="D19" s="134" t="s">
        <v>325</v>
      </c>
      <c r="E19" s="13" t="s">
        <v>170</v>
      </c>
      <c r="F19" s="1" t="s">
        <v>277</v>
      </c>
      <c r="G19" s="1"/>
      <c r="H19" s="81" t="s">
        <v>70</v>
      </c>
      <c r="I19" s="82">
        <v>20</v>
      </c>
      <c r="J19" s="82">
        <v>24</v>
      </c>
      <c r="K19" s="82">
        <v>16.5</v>
      </c>
      <c r="L19" s="82"/>
      <c r="M19" s="82">
        <v>22</v>
      </c>
      <c r="N19" s="82">
        <v>24</v>
      </c>
      <c r="O19" s="82">
        <v>21</v>
      </c>
      <c r="P19" s="82">
        <v>22</v>
      </c>
      <c r="Q19" s="82">
        <v>24</v>
      </c>
      <c r="R19" s="82">
        <v>23</v>
      </c>
      <c r="S19" s="82">
        <v>22</v>
      </c>
      <c r="T19" s="82">
        <v>22</v>
      </c>
      <c r="U19" s="82">
        <v>25</v>
      </c>
      <c r="V19" s="82">
        <v>25</v>
      </c>
      <c r="W19" s="82">
        <v>19</v>
      </c>
      <c r="X19" s="82">
        <v>25</v>
      </c>
      <c r="Y19" s="82">
        <v>24</v>
      </c>
      <c r="Z19" s="82">
        <v>25</v>
      </c>
      <c r="AA19" s="82">
        <v>25</v>
      </c>
      <c r="AB19" s="82">
        <v>25</v>
      </c>
      <c r="AC19" s="82">
        <v>25</v>
      </c>
      <c r="AD19" s="82">
        <v>24</v>
      </c>
      <c r="AE19" s="82">
        <v>19</v>
      </c>
      <c r="AF19" s="82">
        <v>25</v>
      </c>
      <c r="AG19" s="82">
        <v>21</v>
      </c>
      <c r="AH19" s="82">
        <v>25</v>
      </c>
      <c r="AI19" s="82">
        <v>25</v>
      </c>
      <c r="AJ19" s="82">
        <v>22</v>
      </c>
      <c r="AK19" s="82">
        <f t="shared" si="1"/>
        <v>27</v>
      </c>
      <c r="AL19" s="83">
        <f>+(12+12+13+12+12+12+12+12)/8</f>
        <v>12.125</v>
      </c>
      <c r="AM19" s="84">
        <f>SUM(I19:AJ19)</f>
        <v>619.5</v>
      </c>
      <c r="AN19" s="122">
        <v>9</v>
      </c>
      <c r="AO19" s="52">
        <f>SUM(AM19:AN19)</f>
        <v>628.5</v>
      </c>
      <c r="AP19" s="49">
        <f t="shared" si="3"/>
        <v>646.2889089038475</v>
      </c>
      <c r="AQ19" s="11" t="s">
        <v>16</v>
      </c>
      <c r="AR19" s="22"/>
    </row>
    <row r="20" spans="1:44" ht="13.5">
      <c r="A20" s="43"/>
      <c r="B20" s="45"/>
      <c r="C20" s="12" t="s">
        <v>111</v>
      </c>
      <c r="D20" s="134" t="s">
        <v>113</v>
      </c>
      <c r="E20" s="13" t="s">
        <v>246</v>
      </c>
      <c r="F20" s="1" t="s">
        <v>247</v>
      </c>
      <c r="G20" s="1"/>
      <c r="H20" s="91" t="s">
        <v>248</v>
      </c>
      <c r="I20" s="82"/>
      <c r="J20" s="82">
        <v>23</v>
      </c>
      <c r="K20" s="82">
        <v>16</v>
      </c>
      <c r="L20" s="82">
        <v>18</v>
      </c>
      <c r="M20" s="82">
        <v>22</v>
      </c>
      <c r="N20" s="82">
        <v>22</v>
      </c>
      <c r="O20" s="82">
        <v>22</v>
      </c>
      <c r="P20" s="82">
        <v>22</v>
      </c>
      <c r="Q20" s="82">
        <v>25</v>
      </c>
      <c r="R20" s="82">
        <v>23</v>
      </c>
      <c r="S20" s="82">
        <v>22</v>
      </c>
      <c r="T20" s="82">
        <v>25</v>
      </c>
      <c r="U20" s="82">
        <v>25</v>
      </c>
      <c r="V20" s="82">
        <v>25</v>
      </c>
      <c r="W20" s="82">
        <v>20</v>
      </c>
      <c r="X20" s="82">
        <v>24</v>
      </c>
      <c r="Y20" s="82">
        <v>25</v>
      </c>
      <c r="Z20" s="82">
        <v>25</v>
      </c>
      <c r="AA20" s="82">
        <v>25</v>
      </c>
      <c r="AB20" s="82">
        <v>25</v>
      </c>
      <c r="AC20" s="82">
        <v>25</v>
      </c>
      <c r="AD20" s="82">
        <v>24</v>
      </c>
      <c r="AE20" s="82">
        <v>20</v>
      </c>
      <c r="AF20" s="82">
        <v>22</v>
      </c>
      <c r="AG20" s="82">
        <v>22</v>
      </c>
      <c r="AH20" s="82">
        <v>23</v>
      </c>
      <c r="AI20" s="82">
        <v>25</v>
      </c>
      <c r="AJ20" s="82">
        <v>23</v>
      </c>
      <c r="AK20" s="82">
        <f t="shared" si="1"/>
        <v>27</v>
      </c>
      <c r="AL20" s="83">
        <f>+(14+13+14+14)/4</f>
        <v>13.75</v>
      </c>
      <c r="AM20" s="84">
        <f>SUM(I20:AJ20)</f>
        <v>618</v>
      </c>
      <c r="AN20" s="123">
        <v>0</v>
      </c>
      <c r="AO20" s="52">
        <f>SUM(AM20:AN20)</f>
        <v>618</v>
      </c>
      <c r="AP20" s="49">
        <f t="shared" si="3"/>
        <v>560.3881526455492</v>
      </c>
      <c r="AQ20" s="11"/>
      <c r="AR20" s="22"/>
    </row>
    <row r="21" spans="1:44" ht="13.5">
      <c r="A21" s="43">
        <v>57</v>
      </c>
      <c r="B21" s="45" t="s">
        <v>113</v>
      </c>
      <c r="C21" s="12" t="s">
        <v>112</v>
      </c>
      <c r="D21" s="134" t="s">
        <v>99</v>
      </c>
      <c r="E21" s="13" t="s">
        <v>137</v>
      </c>
      <c r="F21" s="1" t="s">
        <v>67</v>
      </c>
      <c r="G21" s="1"/>
      <c r="H21" s="81" t="s">
        <v>69</v>
      </c>
      <c r="I21" s="82">
        <v>24</v>
      </c>
      <c r="J21" s="82">
        <v>22</v>
      </c>
      <c r="K21" s="82">
        <v>16</v>
      </c>
      <c r="L21" s="82">
        <v>18</v>
      </c>
      <c r="M21" s="82">
        <v>15</v>
      </c>
      <c r="N21" s="82">
        <v>21</v>
      </c>
      <c r="O21" s="82">
        <v>23</v>
      </c>
      <c r="P21" s="82">
        <v>17</v>
      </c>
      <c r="Q21" s="82">
        <v>24</v>
      </c>
      <c r="R21" s="82">
        <v>22</v>
      </c>
      <c r="S21" s="82">
        <v>24</v>
      </c>
      <c r="T21" s="82">
        <v>22</v>
      </c>
      <c r="U21" s="82">
        <v>20</v>
      </c>
      <c r="V21" s="82">
        <v>23</v>
      </c>
      <c r="W21" s="82">
        <v>14</v>
      </c>
      <c r="X21" s="82">
        <v>25</v>
      </c>
      <c r="Y21" s="82">
        <v>24</v>
      </c>
      <c r="Z21" s="82">
        <v>25</v>
      </c>
      <c r="AA21" s="82">
        <v>25</v>
      </c>
      <c r="AB21" s="82">
        <v>23</v>
      </c>
      <c r="AC21" s="82">
        <v>25</v>
      </c>
      <c r="AD21" s="82">
        <v>22</v>
      </c>
      <c r="AE21" s="82">
        <v>19</v>
      </c>
      <c r="AF21" s="82">
        <v>22</v>
      </c>
      <c r="AG21" s="82">
        <v>24</v>
      </c>
      <c r="AH21" s="82">
        <v>22</v>
      </c>
      <c r="AI21" s="82">
        <v>23</v>
      </c>
      <c r="AJ21" s="82">
        <v>22</v>
      </c>
      <c r="AK21" s="82">
        <f t="shared" si="1"/>
        <v>28</v>
      </c>
      <c r="AL21" s="83">
        <f>+(12+12+12+12+13)/5</f>
        <v>12.2</v>
      </c>
      <c r="AM21" s="84">
        <f t="shared" si="0"/>
        <v>606</v>
      </c>
      <c r="AN21" s="121">
        <v>10</v>
      </c>
      <c r="AO21" s="52">
        <f t="shared" si="2"/>
        <v>616</v>
      </c>
      <c r="AP21" s="49">
        <f t="shared" si="3"/>
        <v>629.5410436770919</v>
      </c>
      <c r="AQ21" s="11" t="s">
        <v>189</v>
      </c>
      <c r="AR21" s="22"/>
    </row>
    <row r="22" spans="1:44" ht="13.5">
      <c r="A22" s="43"/>
      <c r="B22" s="45" t="s">
        <v>123</v>
      </c>
      <c r="C22" s="12" t="s">
        <v>113</v>
      </c>
      <c r="D22" s="134" t="s">
        <v>102</v>
      </c>
      <c r="E22" s="13" t="s">
        <v>127</v>
      </c>
      <c r="F22" s="1" t="s">
        <v>216</v>
      </c>
      <c r="G22" s="1"/>
      <c r="H22" s="81" t="s">
        <v>69</v>
      </c>
      <c r="I22" s="82">
        <v>21</v>
      </c>
      <c r="J22" s="82">
        <v>25</v>
      </c>
      <c r="K22" s="82">
        <v>22</v>
      </c>
      <c r="L22" s="82">
        <v>21</v>
      </c>
      <c r="M22" s="82">
        <v>23</v>
      </c>
      <c r="N22" s="82">
        <v>20</v>
      </c>
      <c r="O22" s="82">
        <v>23</v>
      </c>
      <c r="P22" s="82">
        <v>25</v>
      </c>
      <c r="Q22" s="82">
        <v>25</v>
      </c>
      <c r="R22" s="82">
        <v>23</v>
      </c>
      <c r="S22" s="82">
        <v>23</v>
      </c>
      <c r="T22" s="82">
        <v>23</v>
      </c>
      <c r="U22" s="82">
        <v>25</v>
      </c>
      <c r="V22" s="82">
        <v>25</v>
      </c>
      <c r="W22" s="82">
        <v>21</v>
      </c>
      <c r="X22" s="82">
        <v>25</v>
      </c>
      <c r="Y22" s="82">
        <v>23</v>
      </c>
      <c r="Z22" s="82">
        <v>25</v>
      </c>
      <c r="AA22" s="82">
        <v>25</v>
      </c>
      <c r="AB22" s="82">
        <v>23.5</v>
      </c>
      <c r="AC22" s="82">
        <v>22</v>
      </c>
      <c r="AD22" s="82">
        <v>23</v>
      </c>
      <c r="AE22" s="82">
        <v>17</v>
      </c>
      <c r="AF22" s="82">
        <v>25</v>
      </c>
      <c r="AG22" s="82">
        <v>24</v>
      </c>
      <c r="AH22" s="82"/>
      <c r="AI22" s="82"/>
      <c r="AJ22" s="82"/>
      <c r="AK22" s="82">
        <f t="shared" si="1"/>
        <v>25</v>
      </c>
      <c r="AL22" s="83">
        <f>+(13+12+13+12+10)/5</f>
        <v>12</v>
      </c>
      <c r="AM22" s="84">
        <f>SUM(I22:AJ22)</f>
        <v>577.5</v>
      </c>
      <c r="AN22" s="122">
        <v>9</v>
      </c>
      <c r="AO22" s="52">
        <f>SUM(AM22:AN22)</f>
        <v>586.5</v>
      </c>
      <c r="AP22" s="49">
        <f t="shared" si="3"/>
        <v>609.382444510646</v>
      </c>
      <c r="AQ22" s="11"/>
      <c r="AR22" s="22"/>
    </row>
    <row r="23" spans="1:44" ht="13.5">
      <c r="A23" s="43">
        <v>19</v>
      </c>
      <c r="B23" s="45" t="s">
        <v>103</v>
      </c>
      <c r="C23" s="12" t="s">
        <v>114</v>
      </c>
      <c r="D23" s="134" t="s">
        <v>108</v>
      </c>
      <c r="E23" s="13" t="s">
        <v>133</v>
      </c>
      <c r="F23" s="1" t="s">
        <v>244</v>
      </c>
      <c r="G23" s="1"/>
      <c r="H23" s="81" t="s">
        <v>69</v>
      </c>
      <c r="I23" s="82">
        <v>18</v>
      </c>
      <c r="J23" s="82">
        <v>22</v>
      </c>
      <c r="K23" s="82">
        <v>20</v>
      </c>
      <c r="L23" s="82"/>
      <c r="M23" s="82">
        <v>21</v>
      </c>
      <c r="N23" s="82">
        <v>23</v>
      </c>
      <c r="O23" s="82">
        <v>24</v>
      </c>
      <c r="P23" s="82">
        <v>25</v>
      </c>
      <c r="Q23" s="82">
        <v>23</v>
      </c>
      <c r="R23" s="82">
        <v>23</v>
      </c>
      <c r="S23" s="82">
        <v>22</v>
      </c>
      <c r="T23" s="82">
        <v>22</v>
      </c>
      <c r="U23" s="82">
        <v>24</v>
      </c>
      <c r="V23" s="82"/>
      <c r="W23" s="82">
        <v>21</v>
      </c>
      <c r="X23" s="82">
        <v>25</v>
      </c>
      <c r="Y23" s="82">
        <v>21</v>
      </c>
      <c r="Z23" s="82"/>
      <c r="AA23" s="82">
        <v>25</v>
      </c>
      <c r="AB23" s="82">
        <v>23</v>
      </c>
      <c r="AC23" s="82">
        <v>25</v>
      </c>
      <c r="AD23" s="82">
        <v>22</v>
      </c>
      <c r="AE23" s="82">
        <v>19</v>
      </c>
      <c r="AF23" s="82">
        <v>24</v>
      </c>
      <c r="AG23" s="82">
        <v>24</v>
      </c>
      <c r="AH23" s="82">
        <v>25</v>
      </c>
      <c r="AI23" s="82">
        <v>22</v>
      </c>
      <c r="AJ23" s="82">
        <v>24</v>
      </c>
      <c r="AK23" s="82">
        <f t="shared" si="1"/>
        <v>25</v>
      </c>
      <c r="AL23" s="83">
        <f>+(14+13+11+12+11)/5</f>
        <v>12.2</v>
      </c>
      <c r="AM23" s="84">
        <f t="shared" si="0"/>
        <v>567</v>
      </c>
      <c r="AN23" s="122">
        <v>9</v>
      </c>
      <c r="AO23" s="52">
        <f t="shared" si="2"/>
        <v>576</v>
      </c>
      <c r="AP23" s="49">
        <f t="shared" si="3"/>
        <v>588.6617551266314</v>
      </c>
      <c r="AQ23" s="11"/>
      <c r="AR23" s="22"/>
    </row>
    <row r="24" spans="1:44" ht="13.5">
      <c r="A24" s="43">
        <v>39</v>
      </c>
      <c r="B24" s="45" t="s">
        <v>144</v>
      </c>
      <c r="C24" s="12" t="s">
        <v>115</v>
      </c>
      <c r="D24" s="134" t="s">
        <v>106</v>
      </c>
      <c r="E24" s="13" t="s">
        <v>164</v>
      </c>
      <c r="F24" s="1" t="s">
        <v>82</v>
      </c>
      <c r="G24" s="1"/>
      <c r="H24" s="81" t="s">
        <v>69</v>
      </c>
      <c r="I24" s="82">
        <v>19</v>
      </c>
      <c r="J24" s="82">
        <v>24</v>
      </c>
      <c r="K24" s="82">
        <v>22</v>
      </c>
      <c r="L24" s="82"/>
      <c r="M24" s="82">
        <v>23</v>
      </c>
      <c r="N24" s="82">
        <v>23</v>
      </c>
      <c r="O24" s="82">
        <v>23</v>
      </c>
      <c r="P24" s="82"/>
      <c r="Q24" s="82"/>
      <c r="R24" s="82"/>
      <c r="S24" s="82">
        <v>22</v>
      </c>
      <c r="T24" s="82">
        <v>25</v>
      </c>
      <c r="U24" s="82">
        <v>24</v>
      </c>
      <c r="V24" s="82">
        <v>25</v>
      </c>
      <c r="W24" s="82">
        <v>25</v>
      </c>
      <c r="X24" s="82">
        <v>25</v>
      </c>
      <c r="Y24" s="82">
        <v>25</v>
      </c>
      <c r="Z24" s="82">
        <v>25</v>
      </c>
      <c r="AA24" s="82">
        <v>25</v>
      </c>
      <c r="AB24" s="82">
        <v>25</v>
      </c>
      <c r="AC24" s="82">
        <v>25</v>
      </c>
      <c r="AD24" s="82">
        <v>24</v>
      </c>
      <c r="AE24" s="82">
        <v>18</v>
      </c>
      <c r="AF24" s="82">
        <v>20</v>
      </c>
      <c r="AG24" s="82">
        <v>24</v>
      </c>
      <c r="AH24" s="82">
        <v>25</v>
      </c>
      <c r="AI24" s="82">
        <v>25</v>
      </c>
      <c r="AJ24" s="82">
        <v>25</v>
      </c>
      <c r="AK24" s="82">
        <f t="shared" si="1"/>
        <v>24</v>
      </c>
      <c r="AL24" s="83">
        <f>+(11+12+13+12+12+12+13+11+11+12)/10</f>
        <v>11.9</v>
      </c>
      <c r="AM24" s="84">
        <f t="shared" si="0"/>
        <v>566</v>
      </c>
      <c r="AN24" s="123">
        <v>0</v>
      </c>
      <c r="AO24" s="52">
        <f t="shared" si="2"/>
        <v>566</v>
      </c>
      <c r="AP24" s="49">
        <f t="shared" si="3"/>
        <v>593.0245027282351</v>
      </c>
      <c r="AQ24" s="11"/>
      <c r="AR24" s="22"/>
    </row>
    <row r="25" spans="1:44" ht="13.5">
      <c r="A25" s="43">
        <v>23</v>
      </c>
      <c r="B25" s="45" t="s">
        <v>153</v>
      </c>
      <c r="C25" s="12" t="s">
        <v>116</v>
      </c>
      <c r="D25" s="134" t="s">
        <v>109</v>
      </c>
      <c r="E25" s="13" t="s">
        <v>158</v>
      </c>
      <c r="F25" s="1" t="s">
        <v>205</v>
      </c>
      <c r="G25" s="1"/>
      <c r="H25" s="81" t="s">
        <v>69</v>
      </c>
      <c r="I25" s="82">
        <v>17</v>
      </c>
      <c r="J25" s="82"/>
      <c r="K25" s="82"/>
      <c r="L25" s="82">
        <v>20</v>
      </c>
      <c r="M25" s="82">
        <v>24</v>
      </c>
      <c r="N25" s="82">
        <v>22</v>
      </c>
      <c r="O25" s="82">
        <v>3</v>
      </c>
      <c r="P25" s="82">
        <v>23</v>
      </c>
      <c r="Q25" s="82">
        <v>25</v>
      </c>
      <c r="R25" s="82">
        <v>25</v>
      </c>
      <c r="S25" s="82">
        <v>21</v>
      </c>
      <c r="T25" s="82">
        <v>23</v>
      </c>
      <c r="U25" s="82">
        <v>23</v>
      </c>
      <c r="V25" s="82">
        <v>25</v>
      </c>
      <c r="W25" s="82">
        <v>25</v>
      </c>
      <c r="X25" s="82">
        <v>25</v>
      </c>
      <c r="Y25" s="82">
        <v>23</v>
      </c>
      <c r="Z25" s="82">
        <v>25</v>
      </c>
      <c r="AA25" s="82">
        <v>25</v>
      </c>
      <c r="AB25" s="82">
        <v>25</v>
      </c>
      <c r="AC25" s="82">
        <v>21</v>
      </c>
      <c r="AD25" s="82">
        <v>23</v>
      </c>
      <c r="AE25" s="82">
        <v>17</v>
      </c>
      <c r="AF25" s="82">
        <v>24</v>
      </c>
      <c r="AG25" s="82">
        <v>25</v>
      </c>
      <c r="AH25" s="82">
        <v>24</v>
      </c>
      <c r="AI25" s="82">
        <v>21</v>
      </c>
      <c r="AJ25" s="82"/>
      <c r="AK25" s="82">
        <f t="shared" si="1"/>
        <v>25</v>
      </c>
      <c r="AL25" s="83">
        <v>12</v>
      </c>
      <c r="AM25" s="84">
        <f t="shared" si="0"/>
        <v>554</v>
      </c>
      <c r="AN25" s="121">
        <v>10</v>
      </c>
      <c r="AO25" s="52">
        <f t="shared" si="2"/>
        <v>564</v>
      </c>
      <c r="AP25" s="49">
        <f t="shared" si="3"/>
        <v>586.0046013708514</v>
      </c>
      <c r="AQ25" s="11"/>
      <c r="AR25" s="22"/>
    </row>
    <row r="26" spans="1:44" ht="13.5">
      <c r="A26" s="43">
        <v>65</v>
      </c>
      <c r="B26" s="45" t="s">
        <v>174</v>
      </c>
      <c r="C26" s="12" t="s">
        <v>117</v>
      </c>
      <c r="D26" s="134" t="s">
        <v>119</v>
      </c>
      <c r="E26" s="13" t="s">
        <v>136</v>
      </c>
      <c r="F26" s="1" t="s">
        <v>55</v>
      </c>
      <c r="G26" s="1"/>
      <c r="H26" s="81" t="s">
        <v>69</v>
      </c>
      <c r="I26" s="82">
        <v>17</v>
      </c>
      <c r="J26" s="82"/>
      <c r="K26" s="82"/>
      <c r="L26" s="82">
        <v>20</v>
      </c>
      <c r="M26" s="82">
        <v>19</v>
      </c>
      <c r="N26" s="82">
        <v>22</v>
      </c>
      <c r="O26" s="82">
        <v>22</v>
      </c>
      <c r="P26" s="82">
        <v>17</v>
      </c>
      <c r="Q26" s="82">
        <v>24</v>
      </c>
      <c r="R26" s="82">
        <v>22</v>
      </c>
      <c r="S26" s="82">
        <v>21</v>
      </c>
      <c r="T26" s="82">
        <v>21</v>
      </c>
      <c r="U26" s="82">
        <v>24</v>
      </c>
      <c r="V26" s="82">
        <v>24</v>
      </c>
      <c r="W26" s="82">
        <v>16</v>
      </c>
      <c r="X26" s="82">
        <v>25</v>
      </c>
      <c r="Y26" s="82">
        <v>21</v>
      </c>
      <c r="Z26" s="82">
        <v>24</v>
      </c>
      <c r="AA26" s="82">
        <v>25</v>
      </c>
      <c r="AB26" s="82">
        <v>18</v>
      </c>
      <c r="AC26" s="82">
        <v>25</v>
      </c>
      <c r="AD26" s="82">
        <v>18</v>
      </c>
      <c r="AE26" s="82">
        <v>19</v>
      </c>
      <c r="AF26" s="82">
        <v>25</v>
      </c>
      <c r="AG26" s="82">
        <v>24</v>
      </c>
      <c r="AH26" s="82">
        <v>25</v>
      </c>
      <c r="AI26" s="82">
        <v>18</v>
      </c>
      <c r="AJ26" s="82"/>
      <c r="AK26" s="82">
        <f t="shared" si="1"/>
        <v>25</v>
      </c>
      <c r="AL26" s="83">
        <v>13</v>
      </c>
      <c r="AM26" s="84">
        <f t="shared" si="0"/>
        <v>536</v>
      </c>
      <c r="AN26" s="121">
        <v>10</v>
      </c>
      <c r="AO26" s="52">
        <f t="shared" si="2"/>
        <v>546</v>
      </c>
      <c r="AP26" s="49">
        <f t="shared" si="3"/>
        <v>523.6636863313992</v>
      </c>
      <c r="AQ26" s="11" t="s">
        <v>189</v>
      </c>
      <c r="AR26" s="22"/>
    </row>
    <row r="27" spans="1:44" ht="13.5">
      <c r="A27" s="43"/>
      <c r="B27" s="45"/>
      <c r="C27" s="12" t="s">
        <v>118</v>
      </c>
      <c r="D27" s="134" t="s">
        <v>117</v>
      </c>
      <c r="E27" s="13" t="s">
        <v>234</v>
      </c>
      <c r="F27" s="1" t="s">
        <v>270</v>
      </c>
      <c r="G27" s="1"/>
      <c r="H27" s="81" t="s">
        <v>70</v>
      </c>
      <c r="I27" s="82">
        <v>24</v>
      </c>
      <c r="J27" s="82">
        <v>25</v>
      </c>
      <c r="K27" s="82"/>
      <c r="L27" s="82"/>
      <c r="M27" s="82"/>
      <c r="N27" s="82"/>
      <c r="O27" s="82"/>
      <c r="P27" s="82"/>
      <c r="Q27" s="82">
        <v>25</v>
      </c>
      <c r="R27" s="82">
        <v>23</v>
      </c>
      <c r="S27" s="82">
        <v>20</v>
      </c>
      <c r="T27" s="82">
        <v>25</v>
      </c>
      <c r="U27" s="82">
        <v>25</v>
      </c>
      <c r="V27" s="82">
        <v>25</v>
      </c>
      <c r="W27" s="82">
        <v>25</v>
      </c>
      <c r="X27" s="82">
        <v>25</v>
      </c>
      <c r="Y27" s="82">
        <v>25</v>
      </c>
      <c r="Z27" s="82">
        <v>25</v>
      </c>
      <c r="AA27" s="82">
        <v>25</v>
      </c>
      <c r="AB27" s="82">
        <v>23</v>
      </c>
      <c r="AC27" s="82">
        <v>25</v>
      </c>
      <c r="AD27" s="82">
        <v>23</v>
      </c>
      <c r="AE27" s="82">
        <v>22</v>
      </c>
      <c r="AF27" s="82">
        <v>25</v>
      </c>
      <c r="AG27" s="82">
        <v>25</v>
      </c>
      <c r="AH27" s="82">
        <v>25</v>
      </c>
      <c r="AI27" s="82">
        <v>25</v>
      </c>
      <c r="AJ27" s="82">
        <v>25</v>
      </c>
      <c r="AK27" s="82">
        <f t="shared" si="1"/>
        <v>22</v>
      </c>
      <c r="AL27" s="83">
        <f>+(14+12+12+11+14)/5</f>
        <v>12.6</v>
      </c>
      <c r="AM27" s="84">
        <f t="shared" si="0"/>
        <v>535</v>
      </c>
      <c r="AN27" s="121">
        <v>10</v>
      </c>
      <c r="AO27" s="52">
        <f t="shared" si="2"/>
        <v>545</v>
      </c>
      <c r="AP27" s="49">
        <f t="shared" si="3"/>
        <v>539.2983920079602</v>
      </c>
      <c r="AQ27" s="11" t="s">
        <v>49</v>
      </c>
      <c r="AR27" s="22"/>
    </row>
    <row r="28" spans="1:44" ht="13.5">
      <c r="A28" s="43"/>
      <c r="B28" s="45" t="s">
        <v>102</v>
      </c>
      <c r="C28" s="12" t="s">
        <v>119</v>
      </c>
      <c r="D28" s="134" t="s">
        <v>118</v>
      </c>
      <c r="E28" s="13" t="s">
        <v>141</v>
      </c>
      <c r="F28" s="1" t="s">
        <v>78</v>
      </c>
      <c r="G28" s="1"/>
      <c r="H28" s="81" t="s">
        <v>70</v>
      </c>
      <c r="I28" s="82">
        <v>25</v>
      </c>
      <c r="J28" s="82"/>
      <c r="K28" s="82">
        <v>20</v>
      </c>
      <c r="L28" s="82">
        <v>20</v>
      </c>
      <c r="M28" s="82"/>
      <c r="N28" s="82"/>
      <c r="O28" s="82"/>
      <c r="P28" s="82">
        <v>25</v>
      </c>
      <c r="Q28" s="82"/>
      <c r="R28" s="82">
        <v>22</v>
      </c>
      <c r="S28" s="82">
        <v>24</v>
      </c>
      <c r="T28" s="82">
        <v>25</v>
      </c>
      <c r="U28" s="82">
        <v>29</v>
      </c>
      <c r="V28" s="82">
        <v>24</v>
      </c>
      <c r="W28" s="82">
        <v>20</v>
      </c>
      <c r="X28" s="82">
        <v>25</v>
      </c>
      <c r="Y28" s="82">
        <v>25</v>
      </c>
      <c r="Z28" s="82">
        <v>25</v>
      </c>
      <c r="AA28" s="82">
        <v>25</v>
      </c>
      <c r="AB28" s="82">
        <v>24</v>
      </c>
      <c r="AC28" s="82">
        <v>23</v>
      </c>
      <c r="AD28" s="82">
        <v>21</v>
      </c>
      <c r="AE28" s="82">
        <v>21</v>
      </c>
      <c r="AF28" s="82">
        <v>25</v>
      </c>
      <c r="AG28" s="82">
        <v>24</v>
      </c>
      <c r="AH28" s="82">
        <v>24</v>
      </c>
      <c r="AI28" s="82">
        <v>24</v>
      </c>
      <c r="AJ28" s="82">
        <v>25</v>
      </c>
      <c r="AK28" s="82">
        <f t="shared" si="1"/>
        <v>23</v>
      </c>
      <c r="AL28" s="83">
        <f>+(12+14+12+12+13+13)/6</f>
        <v>12.666666666666666</v>
      </c>
      <c r="AM28" s="84">
        <f>SUM(I28:AJ28)</f>
        <v>545</v>
      </c>
      <c r="AN28" s="123">
        <v>0</v>
      </c>
      <c r="AO28" s="52">
        <f>SUM(AM28:AN28)</f>
        <v>545</v>
      </c>
      <c r="AP28" s="49">
        <f>+AO28/AL28*$AV$6</f>
        <v>536.4599794184446</v>
      </c>
      <c r="AQ28" s="11"/>
      <c r="AR28" s="22"/>
    </row>
    <row r="29" spans="1:44" ht="13.5">
      <c r="A29" s="43">
        <v>37</v>
      </c>
      <c r="B29" s="45" t="s">
        <v>116</v>
      </c>
      <c r="C29" s="12" t="s">
        <v>120</v>
      </c>
      <c r="D29" s="134" t="s">
        <v>112</v>
      </c>
      <c r="E29" s="13" t="s">
        <v>208</v>
      </c>
      <c r="F29" s="1" t="s">
        <v>56</v>
      </c>
      <c r="G29" s="1"/>
      <c r="H29" s="81" t="s">
        <v>69</v>
      </c>
      <c r="I29" s="82">
        <v>25</v>
      </c>
      <c r="J29" s="82">
        <v>22</v>
      </c>
      <c r="K29" s="82">
        <v>15</v>
      </c>
      <c r="L29" s="82">
        <v>17</v>
      </c>
      <c r="M29" s="82">
        <v>20</v>
      </c>
      <c r="N29" s="82"/>
      <c r="O29" s="82">
        <v>22</v>
      </c>
      <c r="P29" s="82">
        <v>23</v>
      </c>
      <c r="Q29" s="82">
        <v>23</v>
      </c>
      <c r="R29" s="82">
        <v>23</v>
      </c>
      <c r="S29" s="82">
        <v>21.5</v>
      </c>
      <c r="T29" s="82">
        <v>23</v>
      </c>
      <c r="U29" s="82">
        <v>25</v>
      </c>
      <c r="V29" s="82"/>
      <c r="W29" s="82">
        <v>23</v>
      </c>
      <c r="X29" s="82"/>
      <c r="Y29" s="82">
        <v>25</v>
      </c>
      <c r="Z29" s="82">
        <v>25</v>
      </c>
      <c r="AA29" s="82">
        <v>25</v>
      </c>
      <c r="AB29" s="82">
        <v>25</v>
      </c>
      <c r="AC29" s="82">
        <v>25</v>
      </c>
      <c r="AD29" s="82">
        <v>21</v>
      </c>
      <c r="AE29" s="82">
        <v>21</v>
      </c>
      <c r="AF29" s="82">
        <v>24</v>
      </c>
      <c r="AG29" s="82">
        <v>10</v>
      </c>
      <c r="AH29" s="82"/>
      <c r="AI29" s="82">
        <v>18</v>
      </c>
      <c r="AJ29" s="82">
        <v>24</v>
      </c>
      <c r="AK29" s="82">
        <f t="shared" si="1"/>
        <v>24</v>
      </c>
      <c r="AL29" s="83">
        <f>+(12+11+12+13+11+12+11+13+12+12)/10</f>
        <v>11.9</v>
      </c>
      <c r="AM29" s="84">
        <f t="shared" si="0"/>
        <v>525.5</v>
      </c>
      <c r="AN29" s="121">
        <v>10</v>
      </c>
      <c r="AO29" s="52">
        <f t="shared" si="2"/>
        <v>535.5</v>
      </c>
      <c r="AP29" s="49">
        <f t="shared" si="3"/>
        <v>561.0682353550706</v>
      </c>
      <c r="AQ29" s="11"/>
      <c r="AR29" s="22"/>
    </row>
    <row r="30" spans="1:44" ht="13.5">
      <c r="A30" s="43"/>
      <c r="B30" s="45"/>
      <c r="C30" s="12" t="s">
        <v>121</v>
      </c>
      <c r="D30" s="134" t="s">
        <v>142</v>
      </c>
      <c r="E30" s="13" t="s">
        <v>163</v>
      </c>
      <c r="F30" s="1" t="s">
        <v>271</v>
      </c>
      <c r="G30" s="1"/>
      <c r="H30" s="81"/>
      <c r="I30" s="82">
        <v>20</v>
      </c>
      <c r="J30" s="82">
        <v>23</v>
      </c>
      <c r="K30" s="82">
        <v>18</v>
      </c>
      <c r="L30" s="82"/>
      <c r="M30" s="82">
        <v>22</v>
      </c>
      <c r="N30" s="82">
        <v>23</v>
      </c>
      <c r="O30" s="82">
        <v>24</v>
      </c>
      <c r="P30" s="82">
        <v>22</v>
      </c>
      <c r="Q30" s="82">
        <v>25</v>
      </c>
      <c r="R30" s="82">
        <v>24</v>
      </c>
      <c r="S30" s="82">
        <v>23</v>
      </c>
      <c r="T30" s="82">
        <v>22</v>
      </c>
      <c r="U30" s="82">
        <v>25</v>
      </c>
      <c r="V30" s="82">
        <v>25</v>
      </c>
      <c r="W30" s="82">
        <v>25</v>
      </c>
      <c r="X30" s="82">
        <v>24</v>
      </c>
      <c r="Y30" s="82">
        <v>24</v>
      </c>
      <c r="Z30" s="82">
        <v>20</v>
      </c>
      <c r="AA30" s="82">
        <v>25</v>
      </c>
      <c r="AB30" s="82">
        <v>25</v>
      </c>
      <c r="AC30" s="82"/>
      <c r="AD30" s="82">
        <v>19</v>
      </c>
      <c r="AE30" s="82"/>
      <c r="AF30" s="82"/>
      <c r="AG30" s="82">
        <v>20</v>
      </c>
      <c r="AH30" s="82"/>
      <c r="AI30" s="82"/>
      <c r="AJ30" s="82">
        <v>25</v>
      </c>
      <c r="AK30" s="82">
        <f t="shared" si="1"/>
        <v>22</v>
      </c>
      <c r="AL30" s="83">
        <f>+(16+17+18+15)/4</f>
        <v>16.5</v>
      </c>
      <c r="AM30" s="84">
        <f t="shared" si="0"/>
        <v>503</v>
      </c>
      <c r="AN30" s="122">
        <v>9</v>
      </c>
      <c r="AO30" s="52">
        <f t="shared" si="2"/>
        <v>512</v>
      </c>
      <c r="AP30" s="49">
        <f t="shared" si="3"/>
        <v>386.891496972116</v>
      </c>
      <c r="AQ30" s="11" t="s">
        <v>12</v>
      </c>
      <c r="AR30" s="22"/>
    </row>
    <row r="31" spans="1:44" ht="13.5">
      <c r="A31" s="43">
        <v>68</v>
      </c>
      <c r="B31" s="45" t="s">
        <v>156</v>
      </c>
      <c r="C31" s="12" t="s">
        <v>122</v>
      </c>
      <c r="D31" s="134" t="s">
        <v>120</v>
      </c>
      <c r="E31" s="13" t="s">
        <v>167</v>
      </c>
      <c r="F31" s="1" t="s">
        <v>273</v>
      </c>
      <c r="G31" s="1"/>
      <c r="H31" s="81" t="s">
        <v>69</v>
      </c>
      <c r="I31" s="82">
        <v>25</v>
      </c>
      <c r="J31" s="82"/>
      <c r="K31" s="82"/>
      <c r="L31" s="82"/>
      <c r="M31" s="82">
        <v>21</v>
      </c>
      <c r="N31" s="82"/>
      <c r="O31" s="82">
        <v>25</v>
      </c>
      <c r="P31" s="82">
        <v>25</v>
      </c>
      <c r="Q31" s="82"/>
      <c r="R31" s="82">
        <v>22</v>
      </c>
      <c r="S31" s="82"/>
      <c r="T31" s="82">
        <v>20</v>
      </c>
      <c r="U31" s="82">
        <v>25</v>
      </c>
      <c r="V31" s="82">
        <v>25</v>
      </c>
      <c r="W31" s="82">
        <v>20</v>
      </c>
      <c r="X31" s="82">
        <v>25</v>
      </c>
      <c r="Y31" s="82">
        <v>20</v>
      </c>
      <c r="Z31" s="82">
        <v>25</v>
      </c>
      <c r="AA31" s="82">
        <v>25</v>
      </c>
      <c r="AB31" s="82">
        <v>25</v>
      </c>
      <c r="AC31" s="82">
        <v>23</v>
      </c>
      <c r="AD31" s="82">
        <v>24</v>
      </c>
      <c r="AE31" s="82">
        <v>22</v>
      </c>
      <c r="AF31" s="82">
        <v>23</v>
      </c>
      <c r="AG31" s="82">
        <v>23</v>
      </c>
      <c r="AH31" s="82">
        <v>21</v>
      </c>
      <c r="AI31" s="82">
        <v>20</v>
      </c>
      <c r="AJ31" s="82">
        <v>25</v>
      </c>
      <c r="AK31" s="82">
        <f t="shared" si="1"/>
        <v>22</v>
      </c>
      <c r="AL31" s="83">
        <f>+(13+13+11+12+13+12)/6</f>
        <v>12.333333333333334</v>
      </c>
      <c r="AM31" s="84">
        <f t="shared" si="0"/>
        <v>509</v>
      </c>
      <c r="AN31" s="123">
        <v>0</v>
      </c>
      <c r="AO31" s="52">
        <f t="shared" si="2"/>
        <v>509</v>
      </c>
      <c r="AP31" s="49">
        <f t="shared" si="3"/>
        <v>514.5652825148304</v>
      </c>
      <c r="AQ31" s="11"/>
      <c r="AR31" s="22"/>
    </row>
    <row r="32" spans="1:44" s="97" customFormat="1" ht="13.5">
      <c r="A32" s="43">
        <v>35</v>
      </c>
      <c r="B32" s="45" t="s">
        <v>123</v>
      </c>
      <c r="C32" s="12" t="s">
        <v>123</v>
      </c>
      <c r="D32" s="134" t="s">
        <v>124</v>
      </c>
      <c r="E32" s="13" t="s">
        <v>126</v>
      </c>
      <c r="F32" s="40" t="s">
        <v>215</v>
      </c>
      <c r="G32" s="1"/>
      <c r="H32" s="81" t="s">
        <v>69</v>
      </c>
      <c r="I32" s="82">
        <v>24</v>
      </c>
      <c r="J32" s="82"/>
      <c r="K32" s="82"/>
      <c r="L32" s="82">
        <v>20</v>
      </c>
      <c r="M32" s="82">
        <v>21</v>
      </c>
      <c r="N32" s="82">
        <v>21</v>
      </c>
      <c r="O32" s="82">
        <v>22</v>
      </c>
      <c r="P32" s="82">
        <v>24</v>
      </c>
      <c r="Q32" s="82">
        <v>24</v>
      </c>
      <c r="R32" s="82"/>
      <c r="S32" s="82">
        <v>22</v>
      </c>
      <c r="T32" s="82">
        <v>25</v>
      </c>
      <c r="U32" s="82">
        <v>25</v>
      </c>
      <c r="V32" s="82">
        <v>23</v>
      </c>
      <c r="W32" s="82">
        <v>18</v>
      </c>
      <c r="X32" s="82">
        <v>25</v>
      </c>
      <c r="Y32" s="82">
        <v>23</v>
      </c>
      <c r="Z32" s="82">
        <v>25</v>
      </c>
      <c r="AA32" s="82">
        <v>25</v>
      </c>
      <c r="AB32" s="82">
        <v>20</v>
      </c>
      <c r="AC32" s="82">
        <v>25</v>
      </c>
      <c r="AD32" s="82">
        <v>22</v>
      </c>
      <c r="AE32" s="82">
        <v>18</v>
      </c>
      <c r="AF32" s="82">
        <v>25</v>
      </c>
      <c r="AG32" s="82">
        <v>25</v>
      </c>
      <c r="AH32" s="82"/>
      <c r="AI32" s="82"/>
      <c r="AJ32" s="82"/>
      <c r="AK32" s="82">
        <f t="shared" si="1"/>
        <v>22</v>
      </c>
      <c r="AL32" s="83">
        <f>+(14+12+12+13+12)/5</f>
        <v>12.6</v>
      </c>
      <c r="AM32" s="84">
        <f t="shared" si="0"/>
        <v>502</v>
      </c>
      <c r="AN32" s="123">
        <v>0</v>
      </c>
      <c r="AO32" s="52">
        <f t="shared" si="2"/>
        <v>502</v>
      </c>
      <c r="AP32" s="49">
        <f t="shared" si="3"/>
        <v>496.74824364769916</v>
      </c>
      <c r="AQ32" s="11"/>
      <c r="AR32" s="22"/>
    </row>
    <row r="33" spans="1:44" ht="13.5">
      <c r="A33" s="43"/>
      <c r="B33" s="45" t="s">
        <v>152</v>
      </c>
      <c r="C33" s="12" t="s">
        <v>124</v>
      </c>
      <c r="D33" s="134" t="s">
        <v>125</v>
      </c>
      <c r="E33" s="13" t="s">
        <v>122</v>
      </c>
      <c r="F33" s="1" t="s">
        <v>197</v>
      </c>
      <c r="G33" s="1"/>
      <c r="H33" s="81" t="s">
        <v>73</v>
      </c>
      <c r="I33" s="82">
        <v>19</v>
      </c>
      <c r="J33" s="82"/>
      <c r="K33" s="82"/>
      <c r="L33" s="82"/>
      <c r="M33" s="82"/>
      <c r="N33" s="82">
        <v>22</v>
      </c>
      <c r="O33" s="82">
        <v>3</v>
      </c>
      <c r="P33" s="82">
        <v>21</v>
      </c>
      <c r="Q33" s="82">
        <v>23</v>
      </c>
      <c r="R33" s="82">
        <v>22</v>
      </c>
      <c r="S33" s="82">
        <v>21</v>
      </c>
      <c r="T33" s="82">
        <v>22</v>
      </c>
      <c r="U33" s="82">
        <v>21</v>
      </c>
      <c r="V33" s="82">
        <v>25</v>
      </c>
      <c r="W33" s="82">
        <v>23</v>
      </c>
      <c r="X33" s="82">
        <v>25</v>
      </c>
      <c r="Y33" s="82">
        <v>23</v>
      </c>
      <c r="Z33" s="82">
        <v>24</v>
      </c>
      <c r="AA33" s="82">
        <v>25</v>
      </c>
      <c r="AB33" s="82">
        <v>18</v>
      </c>
      <c r="AC33" s="82">
        <v>25</v>
      </c>
      <c r="AD33" s="82">
        <v>23</v>
      </c>
      <c r="AE33" s="82">
        <v>19</v>
      </c>
      <c r="AF33" s="82"/>
      <c r="AG33" s="82">
        <v>25</v>
      </c>
      <c r="AH33" s="82">
        <v>25</v>
      </c>
      <c r="AI33" s="82">
        <v>20</v>
      </c>
      <c r="AJ33" s="82">
        <v>25</v>
      </c>
      <c r="AK33" s="82">
        <f t="shared" si="1"/>
        <v>23</v>
      </c>
      <c r="AL33" s="83">
        <f>+(17+11+12+11+13)/5</f>
        <v>12.8</v>
      </c>
      <c r="AM33" s="84">
        <f t="shared" si="0"/>
        <v>499</v>
      </c>
      <c r="AN33" s="123">
        <v>0</v>
      </c>
      <c r="AO33" s="52">
        <f>SUM(AM33:AN33)</f>
        <v>499</v>
      </c>
      <c r="AP33" s="49">
        <f t="shared" si="3"/>
        <v>486.0643219482295</v>
      </c>
      <c r="AQ33" s="11" t="s">
        <v>9</v>
      </c>
      <c r="AR33" s="22"/>
    </row>
    <row r="34" spans="1:44" ht="13.5">
      <c r="A34" s="43"/>
      <c r="B34" s="45"/>
      <c r="C34" s="12" t="s">
        <v>125</v>
      </c>
      <c r="D34" s="134" t="s">
        <v>122</v>
      </c>
      <c r="E34" s="13" t="s">
        <v>157</v>
      </c>
      <c r="F34" s="40" t="s">
        <v>204</v>
      </c>
      <c r="G34" s="1"/>
      <c r="H34" s="81" t="s">
        <v>69</v>
      </c>
      <c r="I34" s="82">
        <v>18</v>
      </c>
      <c r="J34" s="82"/>
      <c r="K34" s="82"/>
      <c r="L34" s="82">
        <v>21</v>
      </c>
      <c r="M34" s="82">
        <v>21</v>
      </c>
      <c r="N34" s="82">
        <v>21</v>
      </c>
      <c r="O34" s="82">
        <v>3</v>
      </c>
      <c r="P34" s="82">
        <v>22</v>
      </c>
      <c r="Q34" s="82">
        <v>25</v>
      </c>
      <c r="R34" s="82">
        <v>23</v>
      </c>
      <c r="S34" s="82">
        <v>21</v>
      </c>
      <c r="T34" s="82">
        <v>22</v>
      </c>
      <c r="U34" s="82">
        <v>21</v>
      </c>
      <c r="V34" s="82">
        <v>25</v>
      </c>
      <c r="W34" s="82">
        <v>19</v>
      </c>
      <c r="X34" s="82">
        <v>25</v>
      </c>
      <c r="Y34" s="82">
        <v>23</v>
      </c>
      <c r="Z34" s="82">
        <v>25</v>
      </c>
      <c r="AA34" s="82">
        <v>25</v>
      </c>
      <c r="AB34" s="82">
        <v>24.5</v>
      </c>
      <c r="AC34" s="82">
        <v>17</v>
      </c>
      <c r="AD34" s="82">
        <v>23</v>
      </c>
      <c r="AE34" s="82"/>
      <c r="AF34" s="82">
        <v>25</v>
      </c>
      <c r="AG34" s="82">
        <v>22</v>
      </c>
      <c r="AH34" s="82"/>
      <c r="AI34" s="82"/>
      <c r="AJ34" s="82"/>
      <c r="AK34" s="82">
        <f t="shared" si="1"/>
        <v>22</v>
      </c>
      <c r="AL34" s="83">
        <f>+(13+12+12+11)/4</f>
        <v>12</v>
      </c>
      <c r="AM34" s="84">
        <f t="shared" si="0"/>
        <v>471.5</v>
      </c>
      <c r="AN34" s="122">
        <v>9</v>
      </c>
      <c r="AO34" s="52">
        <f>SUM(AM34:AN34)</f>
        <v>480.5</v>
      </c>
      <c r="AP34" s="49">
        <f t="shared" si="3"/>
        <v>499.24682794094696</v>
      </c>
      <c r="AQ34" s="11"/>
      <c r="AR34" s="22"/>
    </row>
    <row r="35" spans="1:44" ht="13.5">
      <c r="A35" s="43"/>
      <c r="B35" s="45" t="s">
        <v>131</v>
      </c>
      <c r="C35" s="12" t="s">
        <v>126</v>
      </c>
      <c r="D35" s="134" t="s">
        <v>123</v>
      </c>
      <c r="E35" s="13" t="s">
        <v>150</v>
      </c>
      <c r="F35" s="1" t="s">
        <v>85</v>
      </c>
      <c r="G35" s="1"/>
      <c r="H35" s="81" t="s">
        <v>84</v>
      </c>
      <c r="I35" s="82"/>
      <c r="J35" s="82"/>
      <c r="K35" s="82"/>
      <c r="L35" s="82"/>
      <c r="M35" s="82"/>
      <c r="N35" s="82"/>
      <c r="O35" s="82"/>
      <c r="P35" s="82"/>
      <c r="Q35" s="82">
        <v>25</v>
      </c>
      <c r="R35" s="82">
        <v>18</v>
      </c>
      <c r="S35" s="82">
        <v>22</v>
      </c>
      <c r="T35" s="82">
        <v>22</v>
      </c>
      <c r="U35" s="82">
        <v>25</v>
      </c>
      <c r="V35" s="82">
        <v>25</v>
      </c>
      <c r="W35" s="82">
        <v>23</v>
      </c>
      <c r="X35" s="82">
        <v>25</v>
      </c>
      <c r="Y35" s="82">
        <v>21</v>
      </c>
      <c r="Z35" s="82">
        <v>25</v>
      </c>
      <c r="AA35" s="82">
        <v>25</v>
      </c>
      <c r="AB35" s="82">
        <v>21.5</v>
      </c>
      <c r="AC35" s="82">
        <v>25</v>
      </c>
      <c r="AD35" s="82">
        <v>24</v>
      </c>
      <c r="AE35" s="82">
        <v>19</v>
      </c>
      <c r="AF35" s="82">
        <v>25</v>
      </c>
      <c r="AG35" s="82">
        <v>24</v>
      </c>
      <c r="AH35" s="82">
        <v>25</v>
      </c>
      <c r="AI35" s="82">
        <v>25</v>
      </c>
      <c r="AJ35" s="82">
        <v>25</v>
      </c>
      <c r="AK35" s="82">
        <f t="shared" si="1"/>
        <v>20</v>
      </c>
      <c r="AL35" s="83">
        <f>+(12+11+13+12)/4</f>
        <v>12</v>
      </c>
      <c r="AM35" s="84">
        <f>SUM(I35:AJ35)</f>
        <v>469.5</v>
      </c>
      <c r="AN35" s="121">
        <v>10</v>
      </c>
      <c r="AO35" s="52">
        <f>SUM(AM35:AN35)</f>
        <v>479.5</v>
      </c>
      <c r="AP35" s="49">
        <f t="shared" si="3"/>
        <v>498.20781269028953</v>
      </c>
      <c r="AQ35" s="11" t="s">
        <v>10</v>
      </c>
      <c r="AR35" s="22"/>
    </row>
    <row r="36" spans="1:44" ht="13.5">
      <c r="A36" s="43">
        <v>51</v>
      </c>
      <c r="B36" s="45" t="s">
        <v>168</v>
      </c>
      <c r="C36" s="12" t="s">
        <v>127</v>
      </c>
      <c r="D36" s="134" t="s">
        <v>136</v>
      </c>
      <c r="E36" s="13" t="s">
        <v>125</v>
      </c>
      <c r="F36" s="1" t="s">
        <v>230</v>
      </c>
      <c r="G36" s="1"/>
      <c r="H36" s="81" t="s">
        <v>80</v>
      </c>
      <c r="I36" s="82">
        <v>22</v>
      </c>
      <c r="J36" s="82"/>
      <c r="K36" s="82"/>
      <c r="L36" s="82"/>
      <c r="M36" s="82"/>
      <c r="N36" s="82"/>
      <c r="O36" s="82"/>
      <c r="P36" s="82"/>
      <c r="Q36" s="82">
        <v>25</v>
      </c>
      <c r="R36" s="82">
        <v>22</v>
      </c>
      <c r="S36" s="82">
        <v>21</v>
      </c>
      <c r="T36" s="82">
        <v>20</v>
      </c>
      <c r="U36" s="82">
        <v>24</v>
      </c>
      <c r="V36" s="82"/>
      <c r="W36" s="82">
        <v>21</v>
      </c>
      <c r="X36" s="82">
        <v>25</v>
      </c>
      <c r="Y36" s="82">
        <v>24</v>
      </c>
      <c r="Z36" s="82">
        <v>25</v>
      </c>
      <c r="AA36" s="82">
        <v>25</v>
      </c>
      <c r="AB36" s="82">
        <v>22</v>
      </c>
      <c r="AC36" s="82">
        <v>25</v>
      </c>
      <c r="AD36" s="82">
        <v>22</v>
      </c>
      <c r="AE36" s="82">
        <v>21</v>
      </c>
      <c r="AF36" s="82">
        <v>25</v>
      </c>
      <c r="AG36" s="82">
        <v>25</v>
      </c>
      <c r="AH36" s="82">
        <v>23</v>
      </c>
      <c r="AI36" s="82">
        <v>23</v>
      </c>
      <c r="AJ36" s="82">
        <v>25</v>
      </c>
      <c r="AK36" s="82">
        <f t="shared" si="1"/>
        <v>20</v>
      </c>
      <c r="AL36" s="83">
        <f>+(12+14+14+16)/4</f>
        <v>14</v>
      </c>
      <c r="AM36" s="84">
        <f>SUM(I36:AJ36)</f>
        <v>465</v>
      </c>
      <c r="AN36" s="122">
        <v>9</v>
      </c>
      <c r="AO36" s="52">
        <f>SUM(AM36:AN36)</f>
        <v>474</v>
      </c>
      <c r="AP36" s="49">
        <f t="shared" si="3"/>
        <v>422.13705326714825</v>
      </c>
      <c r="AQ36" s="11" t="s">
        <v>9</v>
      </c>
      <c r="AR36" s="22"/>
    </row>
    <row r="37" spans="1:44" ht="13.5">
      <c r="A37" s="43"/>
      <c r="B37" s="45" t="s">
        <v>169</v>
      </c>
      <c r="C37" s="12" t="s">
        <v>128</v>
      </c>
      <c r="D37" s="134" t="s">
        <v>128</v>
      </c>
      <c r="E37" s="13" t="s">
        <v>121</v>
      </c>
      <c r="F37" s="1" t="s">
        <v>89</v>
      </c>
      <c r="G37" s="1"/>
      <c r="H37" s="81" t="s">
        <v>73</v>
      </c>
      <c r="I37" s="82">
        <v>24</v>
      </c>
      <c r="J37" s="82"/>
      <c r="K37" s="82"/>
      <c r="L37" s="82"/>
      <c r="M37" s="82">
        <v>10</v>
      </c>
      <c r="N37" s="82">
        <v>21</v>
      </c>
      <c r="O37" s="82">
        <v>17</v>
      </c>
      <c r="P37" s="82">
        <v>23</v>
      </c>
      <c r="Q37" s="82">
        <v>25</v>
      </c>
      <c r="R37" s="82"/>
      <c r="S37" s="82">
        <v>20</v>
      </c>
      <c r="T37" s="82">
        <v>22</v>
      </c>
      <c r="U37" s="82">
        <v>23</v>
      </c>
      <c r="V37" s="82">
        <v>24</v>
      </c>
      <c r="W37" s="82">
        <v>23</v>
      </c>
      <c r="X37" s="82">
        <v>20</v>
      </c>
      <c r="Y37" s="82">
        <v>20</v>
      </c>
      <c r="Z37" s="82">
        <v>24</v>
      </c>
      <c r="AA37" s="82">
        <v>25</v>
      </c>
      <c r="AB37" s="82"/>
      <c r="AC37" s="82">
        <v>21</v>
      </c>
      <c r="AD37" s="82">
        <v>21</v>
      </c>
      <c r="AE37" s="82">
        <v>17</v>
      </c>
      <c r="AF37" s="82">
        <v>23</v>
      </c>
      <c r="AG37" s="82">
        <v>25</v>
      </c>
      <c r="AH37" s="82"/>
      <c r="AI37" s="82">
        <v>17</v>
      </c>
      <c r="AJ37" s="82">
        <v>24</v>
      </c>
      <c r="AK37" s="82">
        <f t="shared" si="1"/>
        <v>22</v>
      </c>
      <c r="AL37" s="83">
        <f>+(12+13+12+12+12)/5</f>
        <v>12.2</v>
      </c>
      <c r="AM37" s="84">
        <f>SUM(I37:AJ37)</f>
        <v>469</v>
      </c>
      <c r="AN37" s="123">
        <v>0</v>
      </c>
      <c r="AO37" s="52">
        <f>SUM(AM37:AN37)</f>
        <v>469</v>
      </c>
      <c r="AP37" s="49">
        <f t="shared" si="3"/>
        <v>479.30965825414955</v>
      </c>
      <c r="AQ37" s="11"/>
      <c r="AR37" s="22"/>
    </row>
    <row r="38" spans="1:44" ht="13.5">
      <c r="A38" s="43">
        <v>25</v>
      </c>
      <c r="B38" s="45" t="s">
        <v>140</v>
      </c>
      <c r="C38" s="12" t="s">
        <v>129</v>
      </c>
      <c r="D38" s="134" t="s">
        <v>127</v>
      </c>
      <c r="E38" s="13" t="s">
        <v>211</v>
      </c>
      <c r="F38" s="40" t="s">
        <v>221</v>
      </c>
      <c r="G38" s="1"/>
      <c r="H38" s="81" t="s">
        <v>70</v>
      </c>
      <c r="I38" s="82"/>
      <c r="J38" s="82"/>
      <c r="K38" s="82"/>
      <c r="L38" s="82"/>
      <c r="M38" s="82"/>
      <c r="N38" s="82"/>
      <c r="O38" s="82"/>
      <c r="P38" s="82"/>
      <c r="Q38" s="82">
        <v>24</v>
      </c>
      <c r="R38" s="82">
        <v>22</v>
      </c>
      <c r="S38" s="82">
        <v>21</v>
      </c>
      <c r="T38" s="82">
        <v>23</v>
      </c>
      <c r="U38" s="82">
        <v>24</v>
      </c>
      <c r="V38" s="82">
        <v>23</v>
      </c>
      <c r="W38" s="82">
        <v>18</v>
      </c>
      <c r="X38" s="82">
        <v>25</v>
      </c>
      <c r="Y38" s="82">
        <v>20</v>
      </c>
      <c r="Z38" s="82">
        <v>23</v>
      </c>
      <c r="AA38" s="82">
        <v>25</v>
      </c>
      <c r="AB38" s="82">
        <v>25</v>
      </c>
      <c r="AC38" s="82">
        <v>25</v>
      </c>
      <c r="AD38" s="82">
        <v>20</v>
      </c>
      <c r="AE38" s="82">
        <v>18</v>
      </c>
      <c r="AF38" s="82">
        <v>23</v>
      </c>
      <c r="AG38" s="82">
        <v>22</v>
      </c>
      <c r="AH38" s="82">
        <v>22</v>
      </c>
      <c r="AI38" s="82">
        <v>20</v>
      </c>
      <c r="AJ38" s="82">
        <v>23</v>
      </c>
      <c r="AK38" s="82">
        <f t="shared" si="1"/>
        <v>20</v>
      </c>
      <c r="AL38" s="83">
        <v>11.8</v>
      </c>
      <c r="AM38" s="84">
        <f t="shared" si="0"/>
        <v>446</v>
      </c>
      <c r="AN38" s="121">
        <v>10</v>
      </c>
      <c r="AO38" s="52">
        <f t="shared" si="2"/>
        <v>456</v>
      </c>
      <c r="AP38" s="49">
        <f t="shared" si="3"/>
        <v>481.82130945746167</v>
      </c>
      <c r="AQ38" s="11" t="s">
        <v>9</v>
      </c>
      <c r="AR38" s="22"/>
    </row>
    <row r="39" spans="1:44" ht="13.5">
      <c r="A39" s="43"/>
      <c r="B39" s="45" t="s">
        <v>154</v>
      </c>
      <c r="C39" s="12" t="s">
        <v>130</v>
      </c>
      <c r="D39" s="134" t="s">
        <v>131</v>
      </c>
      <c r="E39" s="13" t="s">
        <v>106</v>
      </c>
      <c r="F39" s="1" t="s">
        <v>52</v>
      </c>
      <c r="G39" s="1"/>
      <c r="H39" s="81" t="s">
        <v>69</v>
      </c>
      <c r="I39" s="82">
        <v>25</v>
      </c>
      <c r="J39" s="82"/>
      <c r="K39" s="82"/>
      <c r="L39" s="82"/>
      <c r="M39" s="82"/>
      <c r="N39" s="82"/>
      <c r="O39" s="82"/>
      <c r="P39" s="82">
        <v>23</v>
      </c>
      <c r="Q39" s="82">
        <v>25</v>
      </c>
      <c r="R39" s="82">
        <v>23</v>
      </c>
      <c r="S39" s="82">
        <v>20</v>
      </c>
      <c r="T39" s="82">
        <v>22</v>
      </c>
      <c r="U39" s="82">
        <v>23</v>
      </c>
      <c r="V39" s="82">
        <v>24</v>
      </c>
      <c r="W39" s="82">
        <v>18</v>
      </c>
      <c r="X39" s="82">
        <v>25</v>
      </c>
      <c r="Y39" s="82">
        <v>22</v>
      </c>
      <c r="Z39" s="82">
        <v>22</v>
      </c>
      <c r="AA39" s="82">
        <v>25</v>
      </c>
      <c r="AB39" s="82">
        <v>23</v>
      </c>
      <c r="AC39" s="82">
        <v>24</v>
      </c>
      <c r="AD39" s="82">
        <v>25</v>
      </c>
      <c r="AE39" s="82">
        <v>19</v>
      </c>
      <c r="AF39" s="82">
        <v>20</v>
      </c>
      <c r="AG39" s="82">
        <v>21</v>
      </c>
      <c r="AH39" s="82"/>
      <c r="AI39" s="82"/>
      <c r="AJ39" s="82">
        <v>17</v>
      </c>
      <c r="AK39" s="82">
        <f t="shared" si="1"/>
        <v>20</v>
      </c>
      <c r="AL39" s="83">
        <f>+(13+13+11+13)/4</f>
        <v>12.5</v>
      </c>
      <c r="AM39" s="84">
        <f t="shared" si="0"/>
        <v>446</v>
      </c>
      <c r="AN39" s="121">
        <v>10</v>
      </c>
      <c r="AO39" s="52">
        <f t="shared" si="2"/>
        <v>456</v>
      </c>
      <c r="AP39" s="49">
        <f t="shared" si="3"/>
        <v>454.8393161278438</v>
      </c>
      <c r="AQ39" s="11" t="s">
        <v>50</v>
      </c>
      <c r="AR39" s="22"/>
    </row>
    <row r="40" spans="1:44" ht="13.5">
      <c r="A40" s="43"/>
      <c r="B40" s="45" t="s">
        <v>119</v>
      </c>
      <c r="C40" s="12" t="s">
        <v>131</v>
      </c>
      <c r="D40" s="134" t="s">
        <v>145</v>
      </c>
      <c r="E40" s="13" t="s">
        <v>178</v>
      </c>
      <c r="F40" s="1" t="s">
        <v>206</v>
      </c>
      <c r="G40" s="1"/>
      <c r="H40" s="81" t="s">
        <v>84</v>
      </c>
      <c r="I40" s="82">
        <v>24</v>
      </c>
      <c r="J40" s="82">
        <v>23</v>
      </c>
      <c r="K40" s="82">
        <v>15</v>
      </c>
      <c r="L40" s="82">
        <v>21</v>
      </c>
      <c r="M40" s="82"/>
      <c r="N40" s="82"/>
      <c r="O40" s="82"/>
      <c r="P40" s="82"/>
      <c r="Q40" s="82">
        <v>25</v>
      </c>
      <c r="R40" s="82">
        <v>24</v>
      </c>
      <c r="S40" s="82"/>
      <c r="T40" s="82">
        <v>25</v>
      </c>
      <c r="U40" s="82">
        <v>25</v>
      </c>
      <c r="V40" s="82"/>
      <c r="W40" s="82">
        <v>24</v>
      </c>
      <c r="X40" s="82"/>
      <c r="Y40" s="82">
        <v>23</v>
      </c>
      <c r="Z40" s="82">
        <v>25</v>
      </c>
      <c r="AA40" s="82">
        <v>25</v>
      </c>
      <c r="AB40" s="82">
        <v>19</v>
      </c>
      <c r="AC40" s="82">
        <v>25</v>
      </c>
      <c r="AD40" s="82">
        <v>24</v>
      </c>
      <c r="AE40" s="82">
        <v>20</v>
      </c>
      <c r="AF40" s="82">
        <v>25</v>
      </c>
      <c r="AG40" s="82">
        <v>24</v>
      </c>
      <c r="AH40" s="82">
        <v>24</v>
      </c>
      <c r="AI40" s="82"/>
      <c r="AJ40" s="82"/>
      <c r="AK40" s="82">
        <f t="shared" si="1"/>
        <v>19</v>
      </c>
      <c r="AL40" s="83">
        <f>+(17+18+17+17+15)/5</f>
        <v>16.8</v>
      </c>
      <c r="AM40" s="84">
        <f t="shared" si="0"/>
        <v>440</v>
      </c>
      <c r="AN40" s="121">
        <v>10</v>
      </c>
      <c r="AO40" s="52">
        <f t="shared" si="2"/>
        <v>450</v>
      </c>
      <c r="AP40" s="49">
        <f t="shared" si="3"/>
        <v>333.9691877113515</v>
      </c>
      <c r="AQ40" s="11" t="s">
        <v>9</v>
      </c>
      <c r="AR40" s="22"/>
    </row>
    <row r="41" spans="1:44" ht="13.5">
      <c r="A41" s="43"/>
      <c r="B41" s="45"/>
      <c r="C41" s="12" t="s">
        <v>132</v>
      </c>
      <c r="D41" s="134" t="s">
        <v>134</v>
      </c>
      <c r="E41" s="13" t="s">
        <v>154</v>
      </c>
      <c r="F41" s="1" t="s">
        <v>263</v>
      </c>
      <c r="G41" s="1"/>
      <c r="H41" s="81" t="s">
        <v>69</v>
      </c>
      <c r="I41" s="82">
        <v>25</v>
      </c>
      <c r="J41" s="82">
        <v>23</v>
      </c>
      <c r="K41" s="82">
        <v>20</v>
      </c>
      <c r="L41" s="82">
        <v>20</v>
      </c>
      <c r="M41" s="82">
        <v>25</v>
      </c>
      <c r="N41" s="82">
        <v>21</v>
      </c>
      <c r="O41" s="82"/>
      <c r="P41" s="82"/>
      <c r="Q41" s="82"/>
      <c r="R41" s="82">
        <v>21</v>
      </c>
      <c r="S41" s="82"/>
      <c r="T41" s="82">
        <v>25</v>
      </c>
      <c r="U41" s="82">
        <v>25</v>
      </c>
      <c r="V41" s="82">
        <v>25</v>
      </c>
      <c r="W41" s="82">
        <v>25</v>
      </c>
      <c r="X41" s="82"/>
      <c r="Y41" s="82">
        <v>25</v>
      </c>
      <c r="Z41" s="82">
        <v>25</v>
      </c>
      <c r="AA41" s="82">
        <v>25</v>
      </c>
      <c r="AB41" s="82"/>
      <c r="AC41" s="82"/>
      <c r="AD41" s="82"/>
      <c r="AE41" s="82">
        <v>20</v>
      </c>
      <c r="AF41" s="82">
        <v>25</v>
      </c>
      <c r="AG41" s="82"/>
      <c r="AH41" s="82">
        <v>24</v>
      </c>
      <c r="AI41" s="82">
        <v>22</v>
      </c>
      <c r="AJ41" s="82">
        <v>21</v>
      </c>
      <c r="AK41" s="82">
        <f t="shared" si="1"/>
        <v>19</v>
      </c>
      <c r="AL41" s="83">
        <f>+(14+13+12+13+12+12)/6</f>
        <v>12.666666666666666</v>
      </c>
      <c r="AM41" s="84">
        <f t="shared" si="0"/>
        <v>442</v>
      </c>
      <c r="AN41" s="123">
        <v>0</v>
      </c>
      <c r="AO41" s="52">
        <f t="shared" si="2"/>
        <v>442</v>
      </c>
      <c r="AP41" s="49">
        <f t="shared" si="3"/>
        <v>435.07396495954595</v>
      </c>
      <c r="AQ41" s="11"/>
      <c r="AR41" s="22"/>
    </row>
    <row r="42" spans="1:44" ht="13.5">
      <c r="A42" s="43">
        <v>36</v>
      </c>
      <c r="B42" s="45" t="s">
        <v>163</v>
      </c>
      <c r="C42" s="12" t="s">
        <v>133</v>
      </c>
      <c r="D42" s="134" t="s">
        <v>130</v>
      </c>
      <c r="E42" s="13" t="s">
        <v>166</v>
      </c>
      <c r="F42" s="1" t="s">
        <v>272</v>
      </c>
      <c r="G42" s="1"/>
      <c r="H42" s="81" t="s">
        <v>69</v>
      </c>
      <c r="I42" s="82"/>
      <c r="J42" s="82"/>
      <c r="K42" s="82"/>
      <c r="L42" s="82"/>
      <c r="M42" s="82"/>
      <c r="N42" s="82"/>
      <c r="O42" s="82"/>
      <c r="P42" s="82"/>
      <c r="Q42" s="82">
        <v>25</v>
      </c>
      <c r="R42" s="82"/>
      <c r="S42" s="82">
        <v>24</v>
      </c>
      <c r="T42" s="82">
        <v>23</v>
      </c>
      <c r="U42" s="82">
        <v>25</v>
      </c>
      <c r="V42" s="82">
        <v>25</v>
      </c>
      <c r="W42" s="82">
        <v>24</v>
      </c>
      <c r="X42" s="82">
        <v>25</v>
      </c>
      <c r="Y42" s="82">
        <v>25</v>
      </c>
      <c r="Z42" s="82">
        <v>25</v>
      </c>
      <c r="AA42" s="82">
        <v>25</v>
      </c>
      <c r="AB42" s="82">
        <v>23</v>
      </c>
      <c r="AC42" s="82"/>
      <c r="AD42" s="82">
        <v>22</v>
      </c>
      <c r="AE42" s="82">
        <v>19</v>
      </c>
      <c r="AF42" s="82">
        <v>25</v>
      </c>
      <c r="AG42" s="82">
        <v>25</v>
      </c>
      <c r="AH42" s="82">
        <v>24</v>
      </c>
      <c r="AI42" s="82">
        <v>22</v>
      </c>
      <c r="AJ42" s="82">
        <v>25</v>
      </c>
      <c r="AK42" s="82">
        <f t="shared" si="1"/>
        <v>18</v>
      </c>
      <c r="AL42" s="83">
        <f>+(13+13+13+11+11+11+12)/7</f>
        <v>12</v>
      </c>
      <c r="AM42" s="84">
        <f t="shared" si="0"/>
        <v>431</v>
      </c>
      <c r="AN42" s="121">
        <v>10</v>
      </c>
      <c r="AO42" s="52">
        <f t="shared" si="2"/>
        <v>441</v>
      </c>
      <c r="AP42" s="49">
        <f t="shared" si="3"/>
        <v>458.20572553997425</v>
      </c>
      <c r="AQ42" s="11" t="s">
        <v>18</v>
      </c>
      <c r="AR42" s="22"/>
    </row>
    <row r="43" spans="1:44" ht="13.5">
      <c r="A43" s="43"/>
      <c r="B43" s="45" t="s">
        <v>169</v>
      </c>
      <c r="C43" s="12" t="s">
        <v>246</v>
      </c>
      <c r="D43" s="134" t="s">
        <v>246</v>
      </c>
      <c r="E43" s="13" t="s">
        <v>120</v>
      </c>
      <c r="F43" s="1" t="s">
        <v>229</v>
      </c>
      <c r="G43" s="1"/>
      <c r="H43" s="81" t="s">
        <v>73</v>
      </c>
      <c r="I43" s="82">
        <v>23</v>
      </c>
      <c r="J43" s="82"/>
      <c r="K43" s="82"/>
      <c r="L43" s="82"/>
      <c r="M43" s="82"/>
      <c r="N43" s="82"/>
      <c r="O43" s="82">
        <v>20</v>
      </c>
      <c r="P43" s="82">
        <v>23</v>
      </c>
      <c r="Q43" s="82">
        <v>25</v>
      </c>
      <c r="R43" s="82">
        <v>20</v>
      </c>
      <c r="S43" s="82"/>
      <c r="T43" s="82">
        <v>23</v>
      </c>
      <c r="U43" s="82">
        <v>22</v>
      </c>
      <c r="V43" s="82">
        <v>25</v>
      </c>
      <c r="W43" s="82">
        <v>17</v>
      </c>
      <c r="X43" s="82">
        <v>25</v>
      </c>
      <c r="Y43" s="82">
        <v>22</v>
      </c>
      <c r="Z43" s="82">
        <v>24</v>
      </c>
      <c r="AA43" s="82">
        <v>25</v>
      </c>
      <c r="AB43" s="82"/>
      <c r="AC43" s="82">
        <v>25</v>
      </c>
      <c r="AD43" s="82">
        <v>19</v>
      </c>
      <c r="AE43" s="82">
        <v>21</v>
      </c>
      <c r="AF43" s="82">
        <v>24</v>
      </c>
      <c r="AG43" s="82">
        <v>25</v>
      </c>
      <c r="AH43" s="82"/>
      <c r="AI43" s="82"/>
      <c r="AJ43" s="82">
        <v>24</v>
      </c>
      <c r="AK43" s="82">
        <f t="shared" si="1"/>
        <v>19</v>
      </c>
      <c r="AL43" s="83">
        <f>+(12+12+12+15+12)/5</f>
        <v>12.6</v>
      </c>
      <c r="AM43" s="84">
        <f t="shared" si="0"/>
        <v>432</v>
      </c>
      <c r="AN43" s="122">
        <v>9</v>
      </c>
      <c r="AO43" s="52">
        <f t="shared" si="2"/>
        <v>441</v>
      </c>
      <c r="AP43" s="49">
        <f t="shared" si="3"/>
        <v>436.386405276166</v>
      </c>
      <c r="AQ43" s="11" t="s">
        <v>16</v>
      </c>
      <c r="AR43" s="22"/>
    </row>
    <row r="44" spans="1:44" ht="13.5">
      <c r="A44" s="43"/>
      <c r="B44" s="45" t="s">
        <v>178</v>
      </c>
      <c r="C44" s="12" t="s">
        <v>134</v>
      </c>
      <c r="D44" s="134" t="s">
        <v>129</v>
      </c>
      <c r="E44" s="13" t="s">
        <v>173</v>
      </c>
      <c r="F44" s="1" t="s">
        <v>281</v>
      </c>
      <c r="G44" s="1"/>
      <c r="H44" s="81" t="s">
        <v>69</v>
      </c>
      <c r="I44" s="82">
        <v>19</v>
      </c>
      <c r="J44" s="82"/>
      <c r="K44" s="82"/>
      <c r="L44" s="82"/>
      <c r="M44" s="82"/>
      <c r="N44" s="82"/>
      <c r="O44" s="82"/>
      <c r="P44" s="82">
        <v>21</v>
      </c>
      <c r="Q44" s="82">
        <v>25</v>
      </c>
      <c r="R44" s="82">
        <v>25</v>
      </c>
      <c r="S44" s="82"/>
      <c r="T44" s="82">
        <v>22</v>
      </c>
      <c r="U44" s="82">
        <v>24</v>
      </c>
      <c r="V44" s="82">
        <v>25</v>
      </c>
      <c r="W44" s="82">
        <v>23</v>
      </c>
      <c r="X44" s="82">
        <v>25</v>
      </c>
      <c r="Y44" s="82">
        <v>23</v>
      </c>
      <c r="Z44" s="82">
        <v>25</v>
      </c>
      <c r="AA44" s="82">
        <v>25</v>
      </c>
      <c r="AB44" s="82">
        <v>15.5</v>
      </c>
      <c r="AC44" s="82">
        <v>24</v>
      </c>
      <c r="AD44" s="82">
        <v>25</v>
      </c>
      <c r="AE44" s="82">
        <v>20</v>
      </c>
      <c r="AF44" s="82">
        <v>25</v>
      </c>
      <c r="AG44" s="82">
        <v>24</v>
      </c>
      <c r="AH44" s="82"/>
      <c r="AI44" s="82"/>
      <c r="AJ44" s="82"/>
      <c r="AK44" s="82">
        <f t="shared" si="1"/>
        <v>18</v>
      </c>
      <c r="AL44" s="83">
        <f>+(12+9+11+12+11+12)/6</f>
        <v>11.166666666666666</v>
      </c>
      <c r="AM44" s="84">
        <f>SUM(I44:AJ44)</f>
        <v>415.5</v>
      </c>
      <c r="AN44" s="122">
        <v>9</v>
      </c>
      <c r="AO44" s="52">
        <f t="shared" si="2"/>
        <v>424.5</v>
      </c>
      <c r="AP44" s="49">
        <f t="shared" si="3"/>
        <v>473.97704658353723</v>
      </c>
      <c r="AQ44" s="11" t="s">
        <v>16</v>
      </c>
      <c r="AR44" s="22"/>
    </row>
    <row r="45" spans="1:44" ht="13.5">
      <c r="A45" s="43">
        <v>54</v>
      </c>
      <c r="B45" s="45"/>
      <c r="C45" s="12" t="s">
        <v>135</v>
      </c>
      <c r="D45" s="134" t="s">
        <v>121</v>
      </c>
      <c r="E45" s="13" t="s">
        <v>176</v>
      </c>
      <c r="F45" s="1" t="s">
        <v>93</v>
      </c>
      <c r="G45" s="1"/>
      <c r="H45" s="81" t="s">
        <v>69</v>
      </c>
      <c r="I45" s="82"/>
      <c r="J45" s="82"/>
      <c r="K45" s="82"/>
      <c r="L45" s="82"/>
      <c r="M45" s="82"/>
      <c r="N45" s="82"/>
      <c r="O45" s="82"/>
      <c r="P45" s="82">
        <v>21</v>
      </c>
      <c r="Q45" s="82"/>
      <c r="R45" s="82">
        <v>23</v>
      </c>
      <c r="S45" s="82">
        <v>23</v>
      </c>
      <c r="T45" s="82">
        <v>23</v>
      </c>
      <c r="U45" s="82">
        <v>23</v>
      </c>
      <c r="V45" s="82">
        <v>24</v>
      </c>
      <c r="W45" s="82">
        <v>20</v>
      </c>
      <c r="X45" s="82">
        <v>24</v>
      </c>
      <c r="Y45" s="82">
        <v>22</v>
      </c>
      <c r="Z45" s="82">
        <v>25</v>
      </c>
      <c r="AA45" s="82">
        <v>25</v>
      </c>
      <c r="AB45" s="82">
        <v>22</v>
      </c>
      <c r="AC45" s="82">
        <v>25</v>
      </c>
      <c r="AD45" s="82">
        <v>20</v>
      </c>
      <c r="AE45" s="82">
        <v>21</v>
      </c>
      <c r="AF45" s="82">
        <v>24.99</v>
      </c>
      <c r="AG45" s="82">
        <v>24</v>
      </c>
      <c r="AH45" s="82"/>
      <c r="AI45" s="82"/>
      <c r="AJ45" s="82">
        <v>25</v>
      </c>
      <c r="AK45" s="82">
        <f>COUNTA(I45:AJ45)</f>
        <v>18</v>
      </c>
      <c r="AL45" s="83">
        <f>+(13+13+11+11+11+11+11+11+11)/10</f>
        <v>10.3</v>
      </c>
      <c r="AM45" s="84">
        <f>SUM(I45:AJ45)</f>
        <v>414.99</v>
      </c>
      <c r="AN45" s="122">
        <v>9</v>
      </c>
      <c r="AO45" s="52">
        <f>SUM(AM45:AN45)</f>
        <v>423.99</v>
      </c>
      <c r="AP45" s="49">
        <f t="shared" si="3"/>
        <v>513.2412537393664</v>
      </c>
      <c r="AQ45" s="11" t="s">
        <v>16</v>
      </c>
      <c r="AR45" s="22"/>
    </row>
    <row r="46" spans="1:44" ht="13.5">
      <c r="A46" s="43"/>
      <c r="B46" s="45"/>
      <c r="C46" s="12" t="s">
        <v>136</v>
      </c>
      <c r="D46" s="134" t="s">
        <v>140</v>
      </c>
      <c r="E46" s="13" t="s">
        <v>119</v>
      </c>
      <c r="F46" s="1" t="s">
        <v>196</v>
      </c>
      <c r="G46" s="1"/>
      <c r="H46" s="81" t="s">
        <v>73</v>
      </c>
      <c r="I46" s="82">
        <v>21</v>
      </c>
      <c r="J46" s="82">
        <v>22</v>
      </c>
      <c r="K46" s="82">
        <v>17</v>
      </c>
      <c r="L46" s="82">
        <v>22</v>
      </c>
      <c r="M46" s="82">
        <v>20</v>
      </c>
      <c r="N46" s="82">
        <v>19</v>
      </c>
      <c r="O46" s="82">
        <v>22</v>
      </c>
      <c r="P46" s="82">
        <v>23</v>
      </c>
      <c r="Q46" s="82"/>
      <c r="R46" s="82">
        <v>24</v>
      </c>
      <c r="S46" s="82"/>
      <c r="T46" s="82"/>
      <c r="U46" s="82"/>
      <c r="V46" s="82"/>
      <c r="W46" s="82"/>
      <c r="X46" s="82"/>
      <c r="Y46" s="82"/>
      <c r="Z46" s="82"/>
      <c r="AA46" s="82">
        <v>25</v>
      </c>
      <c r="AB46" s="82">
        <v>25</v>
      </c>
      <c r="AC46" s="82">
        <v>25</v>
      </c>
      <c r="AD46" s="82">
        <v>17</v>
      </c>
      <c r="AE46" s="82">
        <v>24</v>
      </c>
      <c r="AF46" s="82">
        <v>23</v>
      </c>
      <c r="AG46" s="82">
        <v>25</v>
      </c>
      <c r="AH46" s="82">
        <v>22</v>
      </c>
      <c r="AI46" s="82">
        <v>21</v>
      </c>
      <c r="AJ46" s="82">
        <v>17</v>
      </c>
      <c r="AK46" s="82">
        <f t="shared" si="1"/>
        <v>19</v>
      </c>
      <c r="AL46" s="83">
        <f>+(17+12+14+11+12)/5</f>
        <v>13.2</v>
      </c>
      <c r="AM46" s="84">
        <f>SUM(I46:AJ46)</f>
        <v>414</v>
      </c>
      <c r="AN46" s="122">
        <v>9</v>
      </c>
      <c r="AO46" s="52">
        <f>SUM(AM46:AN46)</f>
        <v>423</v>
      </c>
      <c r="AP46" s="49">
        <f t="shared" si="3"/>
        <v>399.5485918437624</v>
      </c>
      <c r="AQ46" s="11"/>
      <c r="AR46" s="22"/>
    </row>
    <row r="47" spans="1:44" ht="13.5">
      <c r="A47" s="43">
        <v>71</v>
      </c>
      <c r="B47" s="45" t="s">
        <v>170</v>
      </c>
      <c r="C47" s="12" t="s">
        <v>137</v>
      </c>
      <c r="D47" s="134" t="s">
        <v>138</v>
      </c>
      <c r="E47" s="13" t="s">
        <v>168</v>
      </c>
      <c r="F47" s="1" t="s">
        <v>274</v>
      </c>
      <c r="G47" s="1"/>
      <c r="H47" s="81" t="s">
        <v>69</v>
      </c>
      <c r="I47" s="82">
        <v>25</v>
      </c>
      <c r="J47" s="82">
        <v>23</v>
      </c>
      <c r="K47" s="82">
        <v>23</v>
      </c>
      <c r="L47" s="82">
        <v>23</v>
      </c>
      <c r="M47" s="82">
        <v>25</v>
      </c>
      <c r="N47" s="82">
        <v>21</v>
      </c>
      <c r="O47" s="82">
        <v>20</v>
      </c>
      <c r="P47" s="82"/>
      <c r="Q47" s="82"/>
      <c r="R47" s="82"/>
      <c r="S47" s="82"/>
      <c r="T47" s="82"/>
      <c r="U47" s="82"/>
      <c r="V47" s="82"/>
      <c r="W47" s="82"/>
      <c r="X47" s="82">
        <v>25</v>
      </c>
      <c r="Y47" s="82">
        <v>25</v>
      </c>
      <c r="Z47" s="82">
        <v>25</v>
      </c>
      <c r="AA47" s="82">
        <v>25</v>
      </c>
      <c r="AB47" s="82">
        <v>9</v>
      </c>
      <c r="AC47" s="82">
        <v>25</v>
      </c>
      <c r="AD47" s="82">
        <v>23</v>
      </c>
      <c r="AE47" s="82">
        <v>21</v>
      </c>
      <c r="AF47" s="82">
        <v>24</v>
      </c>
      <c r="AG47" s="82">
        <v>25</v>
      </c>
      <c r="AH47" s="82"/>
      <c r="AI47" s="82"/>
      <c r="AJ47" s="82">
        <v>25</v>
      </c>
      <c r="AK47" s="82">
        <f t="shared" si="1"/>
        <v>18</v>
      </c>
      <c r="AL47" s="83">
        <f>+(13+13+13+12+12)/5</f>
        <v>12.6</v>
      </c>
      <c r="AM47" s="84">
        <f t="shared" si="0"/>
        <v>412</v>
      </c>
      <c r="AN47" s="122">
        <v>9</v>
      </c>
      <c r="AO47" s="52">
        <f t="shared" si="2"/>
        <v>421</v>
      </c>
      <c r="AP47" s="49">
        <f t="shared" si="3"/>
        <v>416.59563859697477</v>
      </c>
      <c r="AQ47" s="11"/>
      <c r="AR47" s="22"/>
    </row>
    <row r="48" spans="1:44" ht="13.5">
      <c r="A48" s="43"/>
      <c r="B48" s="45"/>
      <c r="C48" s="12" t="s">
        <v>138</v>
      </c>
      <c r="D48" s="134" t="s">
        <v>132</v>
      </c>
      <c r="E48" s="13" t="s">
        <v>233</v>
      </c>
      <c r="F48" s="1" t="s">
        <v>260</v>
      </c>
      <c r="G48" s="1"/>
      <c r="H48" s="81" t="s">
        <v>259</v>
      </c>
      <c r="I48" s="82"/>
      <c r="J48" s="82"/>
      <c r="K48" s="82"/>
      <c r="L48" s="82"/>
      <c r="M48" s="82"/>
      <c r="N48" s="82"/>
      <c r="O48" s="82"/>
      <c r="P48" s="82"/>
      <c r="Q48" s="82">
        <v>25</v>
      </c>
      <c r="R48" s="82">
        <v>25</v>
      </c>
      <c r="S48" s="82">
        <v>24.5</v>
      </c>
      <c r="T48" s="82">
        <v>23</v>
      </c>
      <c r="U48" s="82">
        <v>24</v>
      </c>
      <c r="V48" s="82">
        <v>25</v>
      </c>
      <c r="W48" s="82">
        <v>17</v>
      </c>
      <c r="X48" s="82">
        <v>25</v>
      </c>
      <c r="Y48" s="82">
        <v>23</v>
      </c>
      <c r="Z48" s="82">
        <v>25</v>
      </c>
      <c r="AA48" s="82">
        <v>25</v>
      </c>
      <c r="AB48" s="82">
        <v>22</v>
      </c>
      <c r="AC48" s="82">
        <v>24</v>
      </c>
      <c r="AD48" s="82">
        <v>25</v>
      </c>
      <c r="AE48" s="82">
        <v>23</v>
      </c>
      <c r="AF48" s="82">
        <v>23</v>
      </c>
      <c r="AG48" s="82"/>
      <c r="AH48" s="82"/>
      <c r="AI48" s="82"/>
      <c r="AJ48" s="82">
        <v>23</v>
      </c>
      <c r="AK48" s="82">
        <f t="shared" si="1"/>
        <v>17</v>
      </c>
      <c r="AL48" s="83">
        <f>+(12+11+12+11)/4</f>
        <v>11.5</v>
      </c>
      <c r="AM48" s="84">
        <f t="shared" si="0"/>
        <v>401.5</v>
      </c>
      <c r="AN48" s="122">
        <v>9</v>
      </c>
      <c r="AO48" s="52">
        <f t="shared" si="2"/>
        <v>410.5</v>
      </c>
      <c r="AP48" s="49">
        <f t="shared" si="3"/>
        <v>445.05992389035066</v>
      </c>
      <c r="AQ48" s="11" t="s">
        <v>9</v>
      </c>
      <c r="AR48" s="22"/>
    </row>
    <row r="49" spans="1:44" ht="13.5">
      <c r="A49" s="43"/>
      <c r="B49" s="45"/>
      <c r="C49" s="12" t="s">
        <v>139</v>
      </c>
      <c r="D49" s="134" t="s">
        <v>149</v>
      </c>
      <c r="E49" s="13" t="s">
        <v>155</v>
      </c>
      <c r="F49" s="1" t="s">
        <v>264</v>
      </c>
      <c r="G49" s="1"/>
      <c r="H49" s="81" t="s">
        <v>69</v>
      </c>
      <c r="I49" s="82">
        <v>25</v>
      </c>
      <c r="J49" s="82">
        <v>25</v>
      </c>
      <c r="K49" s="82">
        <v>18</v>
      </c>
      <c r="L49" s="82">
        <v>25</v>
      </c>
      <c r="M49" s="82">
        <v>23</v>
      </c>
      <c r="N49" s="82">
        <v>21</v>
      </c>
      <c r="O49" s="82">
        <v>25</v>
      </c>
      <c r="P49" s="82"/>
      <c r="Q49" s="82">
        <v>25</v>
      </c>
      <c r="R49" s="82">
        <v>25</v>
      </c>
      <c r="S49" s="82"/>
      <c r="T49" s="82">
        <v>25</v>
      </c>
      <c r="U49" s="82">
        <v>25</v>
      </c>
      <c r="V49" s="82">
        <v>25</v>
      </c>
      <c r="W49" s="82">
        <v>21</v>
      </c>
      <c r="X49" s="82">
        <v>23</v>
      </c>
      <c r="Y49" s="82"/>
      <c r="Z49" s="82"/>
      <c r="AA49" s="82"/>
      <c r="AB49" s="82"/>
      <c r="AC49" s="82"/>
      <c r="AD49" s="82"/>
      <c r="AE49" s="82"/>
      <c r="AF49" s="82"/>
      <c r="AG49" s="82">
        <v>23</v>
      </c>
      <c r="AH49" s="82"/>
      <c r="AI49" s="82">
        <v>22</v>
      </c>
      <c r="AJ49" s="82">
        <v>24</v>
      </c>
      <c r="AK49" s="82">
        <f t="shared" si="1"/>
        <v>17</v>
      </c>
      <c r="AL49" s="83">
        <f>+(15+14+19+19+14)/5</f>
        <v>16.2</v>
      </c>
      <c r="AM49" s="84">
        <f t="shared" si="0"/>
        <v>400</v>
      </c>
      <c r="AN49" s="121">
        <v>10</v>
      </c>
      <c r="AO49" s="52">
        <f>SUM(AM49:AN49)</f>
        <v>410</v>
      </c>
      <c r="AP49" s="49">
        <f t="shared" si="3"/>
        <v>315.55277982932637</v>
      </c>
      <c r="AQ49" s="11"/>
      <c r="AR49" s="22" t="s">
        <v>265</v>
      </c>
    </row>
    <row r="50" spans="1:44" ht="13.5">
      <c r="A50" s="43">
        <v>32</v>
      </c>
      <c r="B50" s="45" t="s">
        <v>135</v>
      </c>
      <c r="C50" s="12" t="s">
        <v>140</v>
      </c>
      <c r="D50" s="134" t="s">
        <v>137</v>
      </c>
      <c r="E50" s="13" t="s">
        <v>148</v>
      </c>
      <c r="F50" s="1" t="s">
        <v>87</v>
      </c>
      <c r="G50" s="1"/>
      <c r="H50" s="81" t="s">
        <v>69</v>
      </c>
      <c r="I50" s="82">
        <v>21</v>
      </c>
      <c r="J50" s="82">
        <v>24</v>
      </c>
      <c r="K50" s="82">
        <v>17</v>
      </c>
      <c r="L50" s="82"/>
      <c r="M50" s="82">
        <v>23</v>
      </c>
      <c r="N50" s="82">
        <v>23</v>
      </c>
      <c r="O50" s="82">
        <v>19</v>
      </c>
      <c r="P50" s="82">
        <v>22</v>
      </c>
      <c r="Q50" s="82">
        <v>25</v>
      </c>
      <c r="R50" s="82">
        <v>22</v>
      </c>
      <c r="S50" s="82">
        <v>21</v>
      </c>
      <c r="T50" s="82"/>
      <c r="U50" s="82"/>
      <c r="V50" s="82"/>
      <c r="W50" s="82"/>
      <c r="X50" s="82"/>
      <c r="Y50" s="82"/>
      <c r="Z50" s="82"/>
      <c r="AA50" s="82">
        <v>25</v>
      </c>
      <c r="AB50" s="82">
        <v>25</v>
      </c>
      <c r="AC50" s="82">
        <v>25</v>
      </c>
      <c r="AD50" s="82">
        <v>14</v>
      </c>
      <c r="AE50" s="82">
        <v>15</v>
      </c>
      <c r="AF50" s="82"/>
      <c r="AG50" s="82">
        <v>20</v>
      </c>
      <c r="AH50" s="82">
        <v>22</v>
      </c>
      <c r="AI50" s="82">
        <v>21</v>
      </c>
      <c r="AJ50" s="82">
        <v>25</v>
      </c>
      <c r="AK50" s="82">
        <f t="shared" si="1"/>
        <v>19</v>
      </c>
      <c r="AL50" s="83">
        <f>+(14+12+11+12+12)/5</f>
        <v>12.2</v>
      </c>
      <c r="AM50" s="84">
        <f t="shared" si="0"/>
        <v>409</v>
      </c>
      <c r="AN50" s="123">
        <v>0</v>
      </c>
      <c r="AO50" s="52">
        <f t="shared" si="2"/>
        <v>409</v>
      </c>
      <c r="AP50" s="49">
        <f t="shared" si="3"/>
        <v>417.99072542845875</v>
      </c>
      <c r="AQ50" s="11"/>
      <c r="AR50" s="22"/>
    </row>
    <row r="51" spans="1:44" ht="13.5">
      <c r="A51" s="43">
        <v>53</v>
      </c>
      <c r="B51" s="45" t="s">
        <v>124</v>
      </c>
      <c r="C51" s="12" t="s">
        <v>141</v>
      </c>
      <c r="D51" s="134" t="s">
        <v>133</v>
      </c>
      <c r="E51" s="13" t="s">
        <v>177</v>
      </c>
      <c r="F51" s="1" t="s">
        <v>94</v>
      </c>
      <c r="G51" s="1"/>
      <c r="H51" s="81" t="s">
        <v>69</v>
      </c>
      <c r="I51" s="82"/>
      <c r="J51" s="82"/>
      <c r="K51" s="82"/>
      <c r="L51" s="82"/>
      <c r="M51" s="82"/>
      <c r="N51" s="82"/>
      <c r="O51" s="82"/>
      <c r="P51" s="82">
        <v>21</v>
      </c>
      <c r="Q51" s="82"/>
      <c r="R51" s="82">
        <v>22</v>
      </c>
      <c r="S51" s="82">
        <v>21</v>
      </c>
      <c r="T51" s="82">
        <v>19</v>
      </c>
      <c r="U51" s="82">
        <v>24</v>
      </c>
      <c r="V51" s="82">
        <v>25</v>
      </c>
      <c r="W51" s="82">
        <v>18</v>
      </c>
      <c r="X51" s="82">
        <v>22</v>
      </c>
      <c r="Y51" s="82">
        <v>21</v>
      </c>
      <c r="Z51" s="82">
        <v>25</v>
      </c>
      <c r="AA51" s="82">
        <v>25</v>
      </c>
      <c r="AB51" s="82">
        <v>21</v>
      </c>
      <c r="AC51" s="82">
        <v>18</v>
      </c>
      <c r="AD51" s="82">
        <v>19</v>
      </c>
      <c r="AE51" s="82">
        <v>21</v>
      </c>
      <c r="AF51" s="82">
        <v>24.99</v>
      </c>
      <c r="AG51" s="82">
        <v>23</v>
      </c>
      <c r="AH51" s="82"/>
      <c r="AI51" s="82"/>
      <c r="AJ51" s="82">
        <v>25</v>
      </c>
      <c r="AK51" s="82">
        <f t="shared" si="1"/>
        <v>18</v>
      </c>
      <c r="AL51" s="83">
        <f>+(13+12+12+12+11+11+11+9+11)/9</f>
        <v>11.333333333333334</v>
      </c>
      <c r="AM51" s="84">
        <f t="shared" si="0"/>
        <v>394.99</v>
      </c>
      <c r="AN51" s="122">
        <v>9</v>
      </c>
      <c r="AO51" s="52">
        <f t="shared" si="2"/>
        <v>403.99</v>
      </c>
      <c r="AP51" s="49">
        <f t="shared" si="3"/>
        <v>444.4430517668529</v>
      </c>
      <c r="AQ51" s="11" t="s">
        <v>16</v>
      </c>
      <c r="AR51" s="22"/>
    </row>
    <row r="52" spans="1:44" ht="13.5">
      <c r="A52" s="43"/>
      <c r="B52" s="45" t="s">
        <v>161</v>
      </c>
      <c r="C52" s="12" t="s">
        <v>142</v>
      </c>
      <c r="D52" s="134" t="s">
        <v>135</v>
      </c>
      <c r="E52" s="13" t="s">
        <v>212</v>
      </c>
      <c r="F52" s="81" t="s">
        <v>311</v>
      </c>
      <c r="G52" s="1"/>
      <c r="H52" s="81" t="s">
        <v>70</v>
      </c>
      <c r="I52" s="82"/>
      <c r="J52" s="82"/>
      <c r="K52" s="82"/>
      <c r="L52" s="82"/>
      <c r="M52" s="82"/>
      <c r="N52" s="82"/>
      <c r="O52" s="82"/>
      <c r="P52" s="82"/>
      <c r="Q52" s="82">
        <v>25</v>
      </c>
      <c r="R52" s="82">
        <v>17</v>
      </c>
      <c r="S52" s="82">
        <v>22</v>
      </c>
      <c r="T52" s="82">
        <v>22</v>
      </c>
      <c r="U52" s="82">
        <v>19</v>
      </c>
      <c r="V52" s="82"/>
      <c r="W52" s="82">
        <v>20</v>
      </c>
      <c r="X52" s="82">
        <v>25</v>
      </c>
      <c r="Y52" s="82">
        <v>23</v>
      </c>
      <c r="Z52" s="82">
        <v>25</v>
      </c>
      <c r="AA52" s="82">
        <v>25</v>
      </c>
      <c r="AB52" s="82">
        <v>5</v>
      </c>
      <c r="AC52" s="82">
        <v>25</v>
      </c>
      <c r="AD52" s="82">
        <v>22</v>
      </c>
      <c r="AE52" s="82">
        <v>18</v>
      </c>
      <c r="AF52" s="82">
        <v>25</v>
      </c>
      <c r="AG52" s="82">
        <v>22</v>
      </c>
      <c r="AH52" s="82">
        <v>22</v>
      </c>
      <c r="AI52" s="82">
        <v>23</v>
      </c>
      <c r="AJ52" s="82"/>
      <c r="AK52" s="82">
        <f t="shared" si="1"/>
        <v>18</v>
      </c>
      <c r="AL52" s="83">
        <v>11.66</v>
      </c>
      <c r="AM52" s="84">
        <f t="shared" si="0"/>
        <v>385</v>
      </c>
      <c r="AN52" s="121">
        <v>10</v>
      </c>
      <c r="AO52" s="52">
        <f t="shared" si="2"/>
        <v>395</v>
      </c>
      <c r="AP52" s="49">
        <f t="shared" si="3"/>
        <v>422.3784123599254</v>
      </c>
      <c r="AQ52" s="11" t="s">
        <v>16</v>
      </c>
      <c r="AR52" s="22"/>
    </row>
    <row r="53" spans="1:44" ht="13.5">
      <c r="A53" s="43">
        <v>46</v>
      </c>
      <c r="B53" s="45"/>
      <c r="C53" s="12" t="s">
        <v>143</v>
      </c>
      <c r="D53" s="134" t="s">
        <v>143</v>
      </c>
      <c r="E53" s="13" t="s">
        <v>117</v>
      </c>
      <c r="F53" s="1" t="s">
        <v>217</v>
      </c>
      <c r="G53" s="1"/>
      <c r="H53" s="91" t="s">
        <v>71</v>
      </c>
      <c r="I53" s="82"/>
      <c r="J53" s="82"/>
      <c r="K53" s="82"/>
      <c r="L53" s="82"/>
      <c r="M53" s="82"/>
      <c r="N53" s="82"/>
      <c r="O53" s="82"/>
      <c r="P53" s="82"/>
      <c r="Q53" s="82"/>
      <c r="R53" s="82">
        <v>24</v>
      </c>
      <c r="S53" s="82"/>
      <c r="T53" s="82">
        <v>21</v>
      </c>
      <c r="U53" s="82">
        <v>23</v>
      </c>
      <c r="V53" s="82">
        <v>25</v>
      </c>
      <c r="W53" s="82">
        <v>23</v>
      </c>
      <c r="X53" s="82">
        <v>25</v>
      </c>
      <c r="Y53" s="82">
        <v>22</v>
      </c>
      <c r="Z53" s="82">
        <v>24</v>
      </c>
      <c r="AA53" s="82">
        <v>25</v>
      </c>
      <c r="AB53" s="82">
        <v>25</v>
      </c>
      <c r="AC53" s="82">
        <v>22</v>
      </c>
      <c r="AD53" s="82">
        <v>24</v>
      </c>
      <c r="AE53" s="82">
        <v>20</v>
      </c>
      <c r="AF53" s="82">
        <v>24</v>
      </c>
      <c r="AG53" s="82">
        <v>24</v>
      </c>
      <c r="AH53" s="82">
        <v>21</v>
      </c>
      <c r="AI53" s="82">
        <v>22</v>
      </c>
      <c r="AJ53" s="82"/>
      <c r="AK53" s="82">
        <f t="shared" si="1"/>
        <v>17</v>
      </c>
      <c r="AL53" s="83">
        <v>13</v>
      </c>
      <c r="AM53" s="84">
        <f>SUM(I53:AJ53)</f>
        <v>394</v>
      </c>
      <c r="AN53" s="123">
        <v>0</v>
      </c>
      <c r="AO53" s="52">
        <f t="shared" si="2"/>
        <v>394</v>
      </c>
      <c r="AP53" s="49">
        <f t="shared" si="3"/>
        <v>377.8818542391415</v>
      </c>
      <c r="AQ53" s="11"/>
      <c r="AR53" s="22"/>
    </row>
    <row r="54" spans="1:44" ht="13.5">
      <c r="A54" s="43"/>
      <c r="B54" s="45"/>
      <c r="C54" s="12" t="s">
        <v>231</v>
      </c>
      <c r="D54" s="134" t="s">
        <v>126</v>
      </c>
      <c r="E54" s="13" t="s">
        <v>241</v>
      </c>
      <c r="F54" s="1" t="s">
        <v>289</v>
      </c>
      <c r="G54" s="1"/>
      <c r="H54" s="81" t="s">
        <v>70</v>
      </c>
      <c r="I54" s="82">
        <v>25</v>
      </c>
      <c r="J54" s="82">
        <v>24</v>
      </c>
      <c r="K54" s="82">
        <v>19</v>
      </c>
      <c r="L54" s="82">
        <v>20</v>
      </c>
      <c r="M54" s="82">
        <v>24</v>
      </c>
      <c r="N54" s="82">
        <v>22</v>
      </c>
      <c r="O54" s="82">
        <v>24</v>
      </c>
      <c r="P54" s="82">
        <v>23</v>
      </c>
      <c r="Q54" s="82"/>
      <c r="R54" s="82">
        <v>23</v>
      </c>
      <c r="S54" s="82"/>
      <c r="T54" s="82">
        <v>25</v>
      </c>
      <c r="U54" s="82">
        <v>24</v>
      </c>
      <c r="V54" s="82"/>
      <c r="W54" s="82">
        <v>25</v>
      </c>
      <c r="X54" s="82">
        <v>25</v>
      </c>
      <c r="Y54" s="82"/>
      <c r="Z54" s="82"/>
      <c r="AA54" s="82"/>
      <c r="AB54" s="82"/>
      <c r="AC54" s="82"/>
      <c r="AD54" s="82"/>
      <c r="AE54" s="82"/>
      <c r="AF54" s="82"/>
      <c r="AG54" s="82"/>
      <c r="AH54" s="82">
        <v>25</v>
      </c>
      <c r="AI54" s="82">
        <v>25</v>
      </c>
      <c r="AJ54" s="82">
        <v>25</v>
      </c>
      <c r="AK54" s="82">
        <f>COUNTA(I54:AJ54)</f>
        <v>16</v>
      </c>
      <c r="AL54" s="83">
        <v>10</v>
      </c>
      <c r="AM54" s="84">
        <f>SUM(I54:AJ54)</f>
        <v>378</v>
      </c>
      <c r="AN54" s="122">
        <v>9</v>
      </c>
      <c r="AO54" s="52">
        <f>SUM(AM54:AN54)</f>
        <v>387</v>
      </c>
      <c r="AP54" s="49">
        <f t="shared" si="3"/>
        <v>482.51868240536066</v>
      </c>
      <c r="AQ54" s="11"/>
      <c r="AR54" s="22"/>
    </row>
    <row r="55" spans="1:44" ht="13.5">
      <c r="A55" s="43"/>
      <c r="B55" s="45"/>
      <c r="C55" s="12" t="s">
        <v>144</v>
      </c>
      <c r="D55" s="134" t="s">
        <v>141</v>
      </c>
      <c r="E55" s="13" t="s">
        <v>238</v>
      </c>
      <c r="F55" s="1" t="s">
        <v>285</v>
      </c>
      <c r="G55" s="1"/>
      <c r="H55" s="81" t="s">
        <v>69</v>
      </c>
      <c r="I55" s="82"/>
      <c r="J55" s="82"/>
      <c r="K55" s="82"/>
      <c r="L55" s="82"/>
      <c r="M55" s="82"/>
      <c r="N55" s="82"/>
      <c r="O55" s="82"/>
      <c r="P55" s="82"/>
      <c r="Q55" s="82"/>
      <c r="R55" s="82">
        <v>22</v>
      </c>
      <c r="S55" s="82"/>
      <c r="T55" s="82">
        <v>25</v>
      </c>
      <c r="U55" s="82">
        <v>25</v>
      </c>
      <c r="V55" s="82"/>
      <c r="W55" s="82">
        <v>21</v>
      </c>
      <c r="X55" s="82">
        <v>24</v>
      </c>
      <c r="Y55" s="82">
        <v>20</v>
      </c>
      <c r="Z55" s="82">
        <v>25</v>
      </c>
      <c r="AA55" s="82">
        <v>25</v>
      </c>
      <c r="AB55" s="82">
        <v>20</v>
      </c>
      <c r="AC55" s="82">
        <v>24</v>
      </c>
      <c r="AD55" s="82">
        <v>23</v>
      </c>
      <c r="AE55" s="82">
        <v>22</v>
      </c>
      <c r="AF55" s="82">
        <v>14</v>
      </c>
      <c r="AG55" s="82">
        <v>23</v>
      </c>
      <c r="AH55" s="82">
        <v>25</v>
      </c>
      <c r="AI55" s="82">
        <v>21</v>
      </c>
      <c r="AJ55" s="82">
        <v>25</v>
      </c>
      <c r="AK55" s="82">
        <f t="shared" si="1"/>
        <v>17</v>
      </c>
      <c r="AL55" s="83">
        <v>12</v>
      </c>
      <c r="AM55" s="84">
        <f t="shared" si="0"/>
        <v>384</v>
      </c>
      <c r="AN55" s="123">
        <v>0</v>
      </c>
      <c r="AO55" s="52">
        <f t="shared" si="2"/>
        <v>384</v>
      </c>
      <c r="AP55" s="49">
        <f t="shared" si="3"/>
        <v>398.9818562524946</v>
      </c>
      <c r="AQ55" s="11"/>
      <c r="AR55" s="22"/>
    </row>
    <row r="56" spans="1:44" ht="13.5">
      <c r="A56" s="43"/>
      <c r="B56" s="45" t="s">
        <v>137</v>
      </c>
      <c r="C56" s="12" t="s">
        <v>145</v>
      </c>
      <c r="D56" s="134" t="s">
        <v>144</v>
      </c>
      <c r="E56" s="13" t="s">
        <v>130</v>
      </c>
      <c r="F56" s="1" t="s">
        <v>95</v>
      </c>
      <c r="G56" s="1"/>
      <c r="H56" s="81" t="s">
        <v>96</v>
      </c>
      <c r="I56" s="82">
        <v>20</v>
      </c>
      <c r="J56" s="82">
        <v>22</v>
      </c>
      <c r="K56" s="82">
        <v>25</v>
      </c>
      <c r="L56" s="82">
        <v>23</v>
      </c>
      <c r="M56" s="82">
        <v>23</v>
      </c>
      <c r="N56" s="82">
        <v>24</v>
      </c>
      <c r="O56" s="82">
        <v>22</v>
      </c>
      <c r="P56" s="82"/>
      <c r="Q56" s="82"/>
      <c r="R56" s="82">
        <v>23</v>
      </c>
      <c r="S56" s="82">
        <v>21</v>
      </c>
      <c r="T56" s="82">
        <v>23</v>
      </c>
      <c r="U56" s="82">
        <v>25</v>
      </c>
      <c r="V56" s="82">
        <v>25</v>
      </c>
      <c r="W56" s="82">
        <v>23</v>
      </c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>
        <v>23</v>
      </c>
      <c r="AI56" s="82">
        <v>23</v>
      </c>
      <c r="AJ56" s="82">
        <v>25</v>
      </c>
      <c r="AK56" s="82">
        <f t="shared" si="1"/>
        <v>16</v>
      </c>
      <c r="AL56" s="83">
        <f>+(14+13+14+13+13)/5</f>
        <v>13.4</v>
      </c>
      <c r="AM56" s="84">
        <f>SUM(I56:AJ56)</f>
        <v>370</v>
      </c>
      <c r="AN56" s="123">
        <v>0</v>
      </c>
      <c r="AO56" s="52">
        <f>SUM(AM56:AN56)</f>
        <v>370</v>
      </c>
      <c r="AP56" s="49">
        <f t="shared" si="3"/>
        <v>344.2707248447365</v>
      </c>
      <c r="AQ56" s="11"/>
      <c r="AR56" s="22"/>
    </row>
    <row r="57" spans="1:44" ht="13.5">
      <c r="A57" s="43">
        <v>69</v>
      </c>
      <c r="B57" s="45" t="s">
        <v>132</v>
      </c>
      <c r="C57" s="12" t="s">
        <v>146</v>
      </c>
      <c r="D57" s="134" t="s">
        <v>179</v>
      </c>
      <c r="E57" s="13" t="s">
        <v>107</v>
      </c>
      <c r="F57" s="1" t="s">
        <v>81</v>
      </c>
      <c r="G57" s="1"/>
      <c r="H57" s="81" t="s">
        <v>69</v>
      </c>
      <c r="I57" s="82">
        <v>25</v>
      </c>
      <c r="J57" s="82">
        <v>24</v>
      </c>
      <c r="K57" s="82">
        <v>20</v>
      </c>
      <c r="L57" s="82">
        <v>21</v>
      </c>
      <c r="M57" s="82">
        <v>21</v>
      </c>
      <c r="N57" s="82">
        <v>24</v>
      </c>
      <c r="O57" s="82">
        <v>21</v>
      </c>
      <c r="P57" s="82">
        <v>19</v>
      </c>
      <c r="Q57" s="82">
        <v>25</v>
      </c>
      <c r="R57" s="82">
        <v>19</v>
      </c>
      <c r="S57" s="82"/>
      <c r="T57" s="82">
        <v>21</v>
      </c>
      <c r="U57" s="82">
        <v>23</v>
      </c>
      <c r="V57" s="82"/>
      <c r="W57" s="82">
        <v>23</v>
      </c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>
        <v>25</v>
      </c>
      <c r="AI57" s="82">
        <v>20</v>
      </c>
      <c r="AJ57" s="82">
        <v>25</v>
      </c>
      <c r="AK57" s="82">
        <f t="shared" si="1"/>
        <v>16</v>
      </c>
      <c r="AL57" s="83"/>
      <c r="AM57" s="84">
        <f>SUM(I57:AJ57)</f>
        <v>356</v>
      </c>
      <c r="AN57" s="122">
        <v>9</v>
      </c>
      <c r="AO57" s="52">
        <f>SUM(AM57:AN57)</f>
        <v>365</v>
      </c>
      <c r="AP57" s="49"/>
      <c r="AQ57" s="11" t="s">
        <v>189</v>
      </c>
      <c r="AR57" s="22"/>
    </row>
    <row r="58" spans="1:44" ht="13.5">
      <c r="A58" s="43">
        <v>58</v>
      </c>
      <c r="B58" s="45" t="s">
        <v>115</v>
      </c>
      <c r="C58" s="12" t="s">
        <v>147</v>
      </c>
      <c r="D58" s="134" t="s">
        <v>231</v>
      </c>
      <c r="E58" s="13" t="s">
        <v>145</v>
      </c>
      <c r="F58" s="1" t="s">
        <v>191</v>
      </c>
      <c r="G58" s="1"/>
      <c r="H58" s="91" t="s">
        <v>72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>
        <v>20</v>
      </c>
      <c r="T58" s="82">
        <v>25</v>
      </c>
      <c r="U58" s="82">
        <v>25</v>
      </c>
      <c r="V58" s="82">
        <v>23</v>
      </c>
      <c r="W58" s="82">
        <v>19</v>
      </c>
      <c r="X58" s="82"/>
      <c r="Y58" s="82">
        <v>22</v>
      </c>
      <c r="Z58" s="82">
        <v>19</v>
      </c>
      <c r="AA58" s="82">
        <v>25</v>
      </c>
      <c r="AB58" s="82"/>
      <c r="AC58" s="82">
        <v>25</v>
      </c>
      <c r="AD58" s="82">
        <v>24</v>
      </c>
      <c r="AE58" s="82">
        <v>22</v>
      </c>
      <c r="AF58" s="82">
        <v>25</v>
      </c>
      <c r="AG58" s="82">
        <v>23</v>
      </c>
      <c r="AH58" s="82">
        <v>25</v>
      </c>
      <c r="AI58" s="82">
        <v>23</v>
      </c>
      <c r="AJ58" s="82"/>
      <c r="AK58" s="82">
        <f>COUNTA(I58:AJ58)</f>
        <v>15</v>
      </c>
      <c r="AL58" s="83">
        <f>+(16+11+11+11+11+11)/6</f>
        <v>11.833333333333334</v>
      </c>
      <c r="AM58" s="84">
        <f t="shared" si="0"/>
        <v>345</v>
      </c>
      <c r="AN58" s="121">
        <v>10</v>
      </c>
      <c r="AO58" s="52">
        <f t="shared" si="2"/>
        <v>355</v>
      </c>
      <c r="AP58" s="49">
        <f t="shared" si="3"/>
        <v>374.0454902367137</v>
      </c>
      <c r="AQ58" s="11" t="s">
        <v>18</v>
      </c>
      <c r="AR58" s="22"/>
    </row>
    <row r="59" spans="1:44" ht="13.5">
      <c r="A59" s="43"/>
      <c r="B59" s="45"/>
      <c r="C59" s="12" t="s">
        <v>148</v>
      </c>
      <c r="D59" s="134" t="s">
        <v>139</v>
      </c>
      <c r="E59" s="13" t="s">
        <v>112</v>
      </c>
      <c r="F59" s="1" t="s">
        <v>27</v>
      </c>
      <c r="G59" s="1"/>
      <c r="H59" s="81" t="s">
        <v>70</v>
      </c>
      <c r="I59" s="82"/>
      <c r="J59" s="82"/>
      <c r="K59" s="82"/>
      <c r="L59" s="82"/>
      <c r="M59" s="82"/>
      <c r="N59" s="82"/>
      <c r="O59" s="82"/>
      <c r="P59" s="82"/>
      <c r="Q59" s="82"/>
      <c r="R59" s="82">
        <v>23</v>
      </c>
      <c r="S59" s="82"/>
      <c r="T59" s="82">
        <v>25</v>
      </c>
      <c r="U59" s="82">
        <v>21</v>
      </c>
      <c r="V59" s="82"/>
      <c r="W59" s="82">
        <v>21</v>
      </c>
      <c r="X59" s="82"/>
      <c r="Y59" s="82"/>
      <c r="Z59" s="82">
        <v>24</v>
      </c>
      <c r="AA59" s="82">
        <v>25</v>
      </c>
      <c r="AB59" s="82"/>
      <c r="AC59" s="82">
        <v>24</v>
      </c>
      <c r="AD59" s="82">
        <v>21</v>
      </c>
      <c r="AE59" s="82">
        <v>22</v>
      </c>
      <c r="AF59" s="82">
        <v>25</v>
      </c>
      <c r="AG59" s="82">
        <v>21</v>
      </c>
      <c r="AH59" s="82">
        <v>25</v>
      </c>
      <c r="AI59" s="82">
        <v>21</v>
      </c>
      <c r="AJ59" s="82">
        <v>25</v>
      </c>
      <c r="AK59" s="82">
        <f t="shared" si="1"/>
        <v>14</v>
      </c>
      <c r="AL59" s="83">
        <v>10</v>
      </c>
      <c r="AM59" s="84">
        <f>SUM(I59:AJ59)</f>
        <v>323</v>
      </c>
      <c r="AN59" s="122">
        <v>9</v>
      </c>
      <c r="AO59" s="52">
        <f>SUM(AM59:AN59)</f>
        <v>332</v>
      </c>
      <c r="AP59" s="49">
        <f t="shared" si="3"/>
        <v>413.9436758619632</v>
      </c>
      <c r="AQ59" s="11" t="s">
        <v>49</v>
      </c>
      <c r="AR59" s="22"/>
    </row>
    <row r="60" spans="1:44" ht="13.5">
      <c r="A60" s="43"/>
      <c r="B60" s="45"/>
      <c r="C60" s="12" t="s">
        <v>149</v>
      </c>
      <c r="D60" s="134" t="s">
        <v>148</v>
      </c>
      <c r="E60" s="13" t="s">
        <v>138</v>
      </c>
      <c r="F60" s="40" t="s">
        <v>219</v>
      </c>
      <c r="G60" s="1"/>
      <c r="H60" s="91" t="s">
        <v>71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>
        <v>20</v>
      </c>
      <c r="T60" s="82">
        <v>21</v>
      </c>
      <c r="U60" s="82">
        <v>24</v>
      </c>
      <c r="V60" s="82">
        <v>25</v>
      </c>
      <c r="W60" s="82">
        <v>19</v>
      </c>
      <c r="X60" s="82">
        <v>25</v>
      </c>
      <c r="Y60" s="82">
        <v>24</v>
      </c>
      <c r="Z60" s="82">
        <v>25</v>
      </c>
      <c r="AA60" s="82">
        <v>25</v>
      </c>
      <c r="AB60" s="82"/>
      <c r="AC60" s="82">
        <v>25</v>
      </c>
      <c r="AD60" s="82">
        <v>23</v>
      </c>
      <c r="AE60" s="82">
        <v>21</v>
      </c>
      <c r="AF60" s="82">
        <v>22</v>
      </c>
      <c r="AG60" s="82">
        <v>24</v>
      </c>
      <c r="AH60" s="82"/>
      <c r="AI60" s="82"/>
      <c r="AJ60" s="82"/>
      <c r="AK60" s="82">
        <f t="shared" si="1"/>
        <v>14</v>
      </c>
      <c r="AL60" s="83">
        <v>13</v>
      </c>
      <c r="AM60" s="84">
        <f t="shared" si="0"/>
        <v>323</v>
      </c>
      <c r="AN60" s="122">
        <v>9</v>
      </c>
      <c r="AO60" s="52">
        <f t="shared" si="2"/>
        <v>332</v>
      </c>
      <c r="AP60" s="49">
        <f t="shared" si="3"/>
        <v>318.41821220151013</v>
      </c>
      <c r="AQ60" s="11" t="s">
        <v>9</v>
      </c>
      <c r="AR60" s="22"/>
    </row>
    <row r="61" spans="1:44" ht="13.5">
      <c r="A61" s="43"/>
      <c r="B61" s="45"/>
      <c r="C61" s="12" t="s">
        <v>232</v>
      </c>
      <c r="D61" s="134" t="s">
        <v>150</v>
      </c>
      <c r="E61" s="13" t="s">
        <v>162</v>
      </c>
      <c r="F61" s="1" t="s">
        <v>269</v>
      </c>
      <c r="G61" s="1"/>
      <c r="H61" s="81" t="s">
        <v>70</v>
      </c>
      <c r="I61" s="82"/>
      <c r="J61" s="82"/>
      <c r="K61" s="82"/>
      <c r="L61" s="82"/>
      <c r="M61" s="82"/>
      <c r="N61" s="82"/>
      <c r="O61" s="82"/>
      <c r="P61" s="82"/>
      <c r="Q61" s="82"/>
      <c r="R61" s="82">
        <v>19</v>
      </c>
      <c r="S61" s="82"/>
      <c r="T61" s="82"/>
      <c r="U61" s="82">
        <v>23</v>
      </c>
      <c r="V61" s="82">
        <v>21</v>
      </c>
      <c r="W61" s="82">
        <v>20</v>
      </c>
      <c r="X61" s="82"/>
      <c r="Y61" s="82">
        <v>25</v>
      </c>
      <c r="Z61" s="82">
        <v>18</v>
      </c>
      <c r="AA61" s="82">
        <v>25</v>
      </c>
      <c r="AB61" s="82"/>
      <c r="AC61" s="82">
        <v>25</v>
      </c>
      <c r="AD61" s="82">
        <v>23</v>
      </c>
      <c r="AE61" s="82">
        <v>18</v>
      </c>
      <c r="AF61" s="82">
        <v>25</v>
      </c>
      <c r="AG61" s="82">
        <v>23</v>
      </c>
      <c r="AH61" s="82">
        <v>24</v>
      </c>
      <c r="AI61" s="82">
        <v>18</v>
      </c>
      <c r="AJ61" s="82">
        <v>21</v>
      </c>
      <c r="AK61" s="82">
        <f t="shared" si="1"/>
        <v>15</v>
      </c>
      <c r="AL61" s="83">
        <f>+(15+14+15+11+14+11)/6</f>
        <v>13.333333333333334</v>
      </c>
      <c r="AM61" s="84">
        <f>SUM(I61:AJ61)</f>
        <v>328</v>
      </c>
      <c r="AN61" s="123">
        <v>0</v>
      </c>
      <c r="AO61" s="52">
        <f>SUM(AM61:AN61)</f>
        <v>328</v>
      </c>
      <c r="AP61" s="49">
        <f t="shared" si="3"/>
        <v>306.7173019941052</v>
      </c>
      <c r="AQ61" s="11"/>
      <c r="AR61" s="22"/>
    </row>
    <row r="62" spans="1:44" ht="13.5">
      <c r="A62" s="43"/>
      <c r="B62" s="45" t="s">
        <v>162</v>
      </c>
      <c r="C62" s="12" t="s">
        <v>150</v>
      </c>
      <c r="D62" s="134" t="s">
        <v>240</v>
      </c>
      <c r="E62" s="13" t="s">
        <v>111</v>
      </c>
      <c r="F62" s="1" t="s">
        <v>27</v>
      </c>
      <c r="G62" s="1"/>
      <c r="H62" s="81" t="s">
        <v>70</v>
      </c>
      <c r="I62" s="82"/>
      <c r="J62" s="82"/>
      <c r="K62" s="82"/>
      <c r="L62" s="82"/>
      <c r="M62" s="82"/>
      <c r="N62" s="82"/>
      <c r="O62" s="82"/>
      <c r="P62" s="82"/>
      <c r="Q62" s="82"/>
      <c r="R62" s="82">
        <v>23</v>
      </c>
      <c r="S62" s="82"/>
      <c r="T62" s="82">
        <v>20</v>
      </c>
      <c r="U62" s="82">
        <v>21</v>
      </c>
      <c r="V62" s="82"/>
      <c r="W62" s="82">
        <v>21</v>
      </c>
      <c r="X62" s="82"/>
      <c r="Y62" s="82"/>
      <c r="Z62" s="82">
        <v>24</v>
      </c>
      <c r="AA62" s="82">
        <v>25</v>
      </c>
      <c r="AB62" s="82"/>
      <c r="AC62" s="82">
        <v>24</v>
      </c>
      <c r="AD62" s="82">
        <v>24</v>
      </c>
      <c r="AE62" s="82">
        <v>20</v>
      </c>
      <c r="AF62" s="82">
        <v>25</v>
      </c>
      <c r="AG62" s="82">
        <v>21</v>
      </c>
      <c r="AH62" s="82">
        <v>25</v>
      </c>
      <c r="AI62" s="82">
        <v>21</v>
      </c>
      <c r="AJ62" s="82">
        <v>25</v>
      </c>
      <c r="AK62" s="82">
        <f t="shared" si="1"/>
        <v>14</v>
      </c>
      <c r="AL62" s="83"/>
      <c r="AM62" s="84">
        <f>SUM(I62:AJ62)</f>
        <v>319</v>
      </c>
      <c r="AN62" s="122">
        <v>9</v>
      </c>
      <c r="AO62" s="52">
        <f>SUM(AM62:AN62)</f>
        <v>328</v>
      </c>
      <c r="AP62" s="49"/>
      <c r="AQ62" s="11" t="s">
        <v>49</v>
      </c>
      <c r="AR62" s="22"/>
    </row>
    <row r="63" spans="1:44" ht="13.5">
      <c r="A63" s="43">
        <v>77</v>
      </c>
      <c r="B63" s="45" t="s">
        <v>148</v>
      </c>
      <c r="C63" s="12" t="s">
        <v>151</v>
      </c>
      <c r="D63" s="134" t="s">
        <v>233</v>
      </c>
      <c r="E63" s="13" t="s">
        <v>172</v>
      </c>
      <c r="F63" s="1" t="s">
        <v>279</v>
      </c>
      <c r="G63" s="1"/>
      <c r="H63" s="81" t="s">
        <v>70</v>
      </c>
      <c r="I63" s="82">
        <v>25</v>
      </c>
      <c r="J63" s="82">
        <v>24</v>
      </c>
      <c r="K63" s="82">
        <v>23</v>
      </c>
      <c r="L63" s="82">
        <v>21</v>
      </c>
      <c r="M63" s="82">
        <v>21</v>
      </c>
      <c r="N63" s="82">
        <v>23</v>
      </c>
      <c r="O63" s="82"/>
      <c r="P63" s="82"/>
      <c r="Q63" s="82"/>
      <c r="R63" s="82">
        <v>23</v>
      </c>
      <c r="S63" s="82"/>
      <c r="T63" s="82">
        <v>25</v>
      </c>
      <c r="U63" s="82">
        <v>25</v>
      </c>
      <c r="V63" s="82"/>
      <c r="W63" s="82">
        <v>25</v>
      </c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>
        <v>25</v>
      </c>
      <c r="AI63" s="82">
        <v>25</v>
      </c>
      <c r="AJ63" s="82">
        <v>23</v>
      </c>
      <c r="AK63" s="82">
        <f t="shared" si="1"/>
        <v>13</v>
      </c>
      <c r="AL63" s="83">
        <f>+(11+14+14+13)/4</f>
        <v>13</v>
      </c>
      <c r="AM63" s="84">
        <f t="shared" si="0"/>
        <v>308</v>
      </c>
      <c r="AN63" s="121">
        <v>10</v>
      </c>
      <c r="AO63" s="52">
        <f t="shared" si="2"/>
        <v>318</v>
      </c>
      <c r="AP63" s="49">
        <f t="shared" si="3"/>
        <v>304.99093819301265</v>
      </c>
      <c r="AQ63" s="11"/>
      <c r="AR63" s="22"/>
    </row>
    <row r="64" spans="1:44" ht="13.5">
      <c r="A64" s="43"/>
      <c r="B64" s="45" t="s">
        <v>142</v>
      </c>
      <c r="C64" s="12" t="s">
        <v>152</v>
      </c>
      <c r="D64" s="134" t="s">
        <v>153</v>
      </c>
      <c r="E64" s="13" t="s">
        <v>210</v>
      </c>
      <c r="F64" s="1" t="s">
        <v>53</v>
      </c>
      <c r="G64" s="1"/>
      <c r="H64" s="81" t="s">
        <v>69</v>
      </c>
      <c r="I64" s="82"/>
      <c r="J64" s="82"/>
      <c r="K64" s="82"/>
      <c r="L64" s="82"/>
      <c r="M64" s="82"/>
      <c r="N64" s="82"/>
      <c r="O64" s="82"/>
      <c r="P64" s="82"/>
      <c r="Q64" s="82">
        <v>24</v>
      </c>
      <c r="R64" s="82">
        <v>20</v>
      </c>
      <c r="S64" s="82"/>
      <c r="T64" s="82">
        <v>23</v>
      </c>
      <c r="U64" s="82">
        <v>21</v>
      </c>
      <c r="V64" s="82"/>
      <c r="W64" s="82">
        <v>24</v>
      </c>
      <c r="X64" s="82"/>
      <c r="Y64" s="82">
        <v>23</v>
      </c>
      <c r="Z64" s="82">
        <v>25</v>
      </c>
      <c r="AA64" s="82">
        <v>25</v>
      </c>
      <c r="AB64" s="82">
        <v>4.5</v>
      </c>
      <c r="AC64" s="82">
        <v>25</v>
      </c>
      <c r="AD64" s="82">
        <v>23</v>
      </c>
      <c r="AE64" s="82"/>
      <c r="AF64" s="82">
        <v>22</v>
      </c>
      <c r="AG64" s="82">
        <v>24</v>
      </c>
      <c r="AH64" s="82"/>
      <c r="AI64" s="82"/>
      <c r="AJ64" s="82">
        <v>24</v>
      </c>
      <c r="AK64" s="82">
        <f t="shared" si="1"/>
        <v>14</v>
      </c>
      <c r="AL64" s="83">
        <f>+(13+12+15+13+13)/5</f>
        <v>13.2</v>
      </c>
      <c r="AM64" s="84">
        <f t="shared" si="0"/>
        <v>307.5</v>
      </c>
      <c r="AN64" s="121">
        <v>10</v>
      </c>
      <c r="AO64" s="52">
        <f t="shared" si="2"/>
        <v>317.5</v>
      </c>
      <c r="AP64" s="49">
        <f t="shared" si="3"/>
        <v>299.8975837125167</v>
      </c>
      <c r="AQ64" s="11" t="s">
        <v>16</v>
      </c>
      <c r="AR64" s="22"/>
    </row>
    <row r="65" spans="1:44" ht="13.5">
      <c r="A65" s="43">
        <v>59</v>
      </c>
      <c r="B65" s="45" t="s">
        <v>158</v>
      </c>
      <c r="C65" s="12" t="s">
        <v>233</v>
      </c>
      <c r="D65" s="134" t="s">
        <v>152</v>
      </c>
      <c r="E65" s="13" t="s">
        <v>161</v>
      </c>
      <c r="F65" s="1" t="s">
        <v>268</v>
      </c>
      <c r="G65" s="1"/>
      <c r="H65" s="81" t="s">
        <v>69</v>
      </c>
      <c r="I65" s="82">
        <v>25</v>
      </c>
      <c r="J65" s="82">
        <v>24</v>
      </c>
      <c r="K65" s="82">
        <v>15</v>
      </c>
      <c r="L65" s="82"/>
      <c r="M65" s="82">
        <v>24</v>
      </c>
      <c r="N65" s="82">
        <v>20</v>
      </c>
      <c r="O65" s="82">
        <v>24</v>
      </c>
      <c r="P65" s="82">
        <v>21</v>
      </c>
      <c r="Q65" s="82">
        <v>25</v>
      </c>
      <c r="R65" s="82">
        <v>14</v>
      </c>
      <c r="S65" s="82">
        <v>23</v>
      </c>
      <c r="T65" s="82">
        <v>25</v>
      </c>
      <c r="U65" s="82">
        <v>21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>
        <v>17</v>
      </c>
      <c r="AJ65" s="82">
        <v>21</v>
      </c>
      <c r="AK65" s="82">
        <f t="shared" si="1"/>
        <v>14</v>
      </c>
      <c r="AL65" s="83">
        <f>+(13+13+14+11+12)/5</f>
        <v>12.6</v>
      </c>
      <c r="AM65" s="84">
        <f>SUM(I65:AJ65)</f>
        <v>299</v>
      </c>
      <c r="AN65" s="121">
        <v>10</v>
      </c>
      <c r="AO65" s="52">
        <f>SUM(AM65:AN65)</f>
        <v>309</v>
      </c>
      <c r="AP65" s="49">
        <f t="shared" si="3"/>
        <v>305.76734519350407</v>
      </c>
      <c r="AQ65" s="11" t="s">
        <v>1</v>
      </c>
      <c r="AR65" s="22"/>
    </row>
    <row r="66" spans="1:44" ht="13.5">
      <c r="A66" s="43"/>
      <c r="B66" s="45"/>
      <c r="C66" s="12" t="s">
        <v>153</v>
      </c>
      <c r="D66" s="134" t="s">
        <v>151</v>
      </c>
      <c r="E66" s="13" t="s">
        <v>160</v>
      </c>
      <c r="F66" s="1" t="s">
        <v>267</v>
      </c>
      <c r="G66" s="1"/>
      <c r="H66" s="81" t="s">
        <v>69</v>
      </c>
      <c r="I66" s="82">
        <v>25</v>
      </c>
      <c r="J66" s="82"/>
      <c r="K66" s="82">
        <v>11</v>
      </c>
      <c r="L66" s="82"/>
      <c r="M66" s="82">
        <v>18</v>
      </c>
      <c r="N66" s="82">
        <v>20</v>
      </c>
      <c r="O66" s="82">
        <v>25</v>
      </c>
      <c r="P66" s="82">
        <v>24</v>
      </c>
      <c r="Q66" s="82">
        <v>25</v>
      </c>
      <c r="R66" s="82">
        <v>14</v>
      </c>
      <c r="S66" s="82">
        <v>24</v>
      </c>
      <c r="T66" s="82">
        <v>25</v>
      </c>
      <c r="U66" s="82">
        <v>24</v>
      </c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>
        <v>25</v>
      </c>
      <c r="AI66" s="82">
        <v>15</v>
      </c>
      <c r="AJ66" s="82">
        <v>21</v>
      </c>
      <c r="AK66" s="82">
        <f aca="true" t="shared" si="4" ref="AK66:AK72">COUNTA(I66:AJ66)</f>
        <v>14</v>
      </c>
      <c r="AL66" s="83">
        <f>+(14+12+12+11+13)/5</f>
        <v>12.4</v>
      </c>
      <c r="AM66" s="84">
        <f>SUM(I66:AJ66)</f>
        <v>296</v>
      </c>
      <c r="AN66" s="122">
        <v>9</v>
      </c>
      <c r="AO66" s="52">
        <f>SUM(AM66:AN66)</f>
        <v>305</v>
      </c>
      <c r="AP66" s="49">
        <f>+AO66/AL66*$AV$6</f>
        <v>306.67708204891846</v>
      </c>
      <c r="AQ66" s="11" t="s">
        <v>1</v>
      </c>
      <c r="AR66" s="22"/>
    </row>
    <row r="67" spans="1:44" ht="13.5">
      <c r="A67" s="43">
        <v>75</v>
      </c>
      <c r="B67" s="45" t="s">
        <v>157</v>
      </c>
      <c r="C67" s="12" t="s">
        <v>154</v>
      </c>
      <c r="D67" s="134" t="s">
        <v>156</v>
      </c>
      <c r="E67" s="13" t="s">
        <v>156</v>
      </c>
      <c r="F67" s="1" t="s">
        <v>266</v>
      </c>
      <c r="G67" s="1"/>
      <c r="H67" s="81" t="s">
        <v>69</v>
      </c>
      <c r="I67" s="82">
        <v>19</v>
      </c>
      <c r="J67" s="82">
        <v>18</v>
      </c>
      <c r="K67" s="82">
        <v>14</v>
      </c>
      <c r="L67" s="82">
        <v>22</v>
      </c>
      <c r="M67" s="82">
        <v>17</v>
      </c>
      <c r="N67" s="82">
        <v>20</v>
      </c>
      <c r="O67" s="82">
        <v>20</v>
      </c>
      <c r="P67" s="82">
        <v>24</v>
      </c>
      <c r="Q67" s="82">
        <v>25</v>
      </c>
      <c r="R67" s="82">
        <v>23</v>
      </c>
      <c r="S67" s="82">
        <v>22</v>
      </c>
      <c r="T67" s="82">
        <v>21</v>
      </c>
      <c r="U67" s="82">
        <v>22</v>
      </c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>
        <v>21</v>
      </c>
      <c r="AJ67" s="82"/>
      <c r="AK67" s="82">
        <f t="shared" si="4"/>
        <v>14</v>
      </c>
      <c r="AL67" s="83">
        <f>+(13+13+12+13+13)/5</f>
        <v>12.8</v>
      </c>
      <c r="AM67" s="84">
        <f t="shared" si="0"/>
        <v>288</v>
      </c>
      <c r="AN67" s="121">
        <v>10</v>
      </c>
      <c r="AO67" s="52">
        <f>SUM(AM67:AN67)</f>
        <v>298</v>
      </c>
      <c r="AP67" s="49">
        <f>+AO67/AL67*$AV$6</f>
        <v>290.27488565244965</v>
      </c>
      <c r="AQ67" s="11"/>
      <c r="AR67" s="22"/>
    </row>
    <row r="68" spans="1:44" ht="13.5">
      <c r="A68" s="43"/>
      <c r="B68" s="45"/>
      <c r="C68" s="12" t="s">
        <v>155</v>
      </c>
      <c r="D68" s="134" t="s">
        <v>234</v>
      </c>
      <c r="E68" s="13" t="s">
        <v>237</v>
      </c>
      <c r="F68" s="1" t="s">
        <v>284</v>
      </c>
      <c r="G68" s="1"/>
      <c r="H68" s="81" t="s">
        <v>70</v>
      </c>
      <c r="I68" s="82">
        <v>23</v>
      </c>
      <c r="J68" s="82">
        <v>18</v>
      </c>
      <c r="K68" s="82">
        <v>20</v>
      </c>
      <c r="L68" s="82"/>
      <c r="M68" s="82">
        <v>21</v>
      </c>
      <c r="N68" s="82">
        <v>24</v>
      </c>
      <c r="O68" s="82">
        <v>22</v>
      </c>
      <c r="P68" s="82">
        <v>18</v>
      </c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>
        <v>20</v>
      </c>
      <c r="AF68" s="82">
        <v>25</v>
      </c>
      <c r="AG68" s="82">
        <v>24</v>
      </c>
      <c r="AH68" s="82">
        <v>25</v>
      </c>
      <c r="AI68" s="82">
        <v>24</v>
      </c>
      <c r="AJ68" s="82">
        <v>25</v>
      </c>
      <c r="AK68" s="82">
        <f t="shared" si="4"/>
        <v>13</v>
      </c>
      <c r="AL68" s="83">
        <f>+(15+15+17+17+13)/5</f>
        <v>15.4</v>
      </c>
      <c r="AM68" s="84">
        <f t="shared" si="0"/>
        <v>289</v>
      </c>
      <c r="AN68" s="122">
        <v>9</v>
      </c>
      <c r="AO68" s="52">
        <f t="shared" si="2"/>
        <v>298</v>
      </c>
      <c r="AP68" s="49">
        <f t="shared" si="3"/>
        <v>241.26743742541268</v>
      </c>
      <c r="AQ68" s="11" t="s">
        <v>5</v>
      </c>
      <c r="AR68" s="22"/>
    </row>
    <row r="69" spans="1:44" ht="13.5">
      <c r="A69" s="43">
        <v>56</v>
      </c>
      <c r="B69" s="90" t="s">
        <v>180</v>
      </c>
      <c r="C69" s="12" t="s">
        <v>156</v>
      </c>
      <c r="D69" s="134" t="s">
        <v>232</v>
      </c>
      <c r="E69" s="13" t="s">
        <v>149</v>
      </c>
      <c r="F69" s="1" t="s">
        <v>88</v>
      </c>
      <c r="G69" s="1"/>
      <c r="H69" s="81" t="s">
        <v>69</v>
      </c>
      <c r="I69" s="82">
        <v>23</v>
      </c>
      <c r="J69" s="82">
        <v>25</v>
      </c>
      <c r="K69" s="82">
        <v>18</v>
      </c>
      <c r="L69" s="82"/>
      <c r="M69" s="82">
        <v>24</v>
      </c>
      <c r="N69" s="82">
        <v>20</v>
      </c>
      <c r="O69" s="82">
        <v>18</v>
      </c>
      <c r="P69" s="82">
        <v>22</v>
      </c>
      <c r="Q69" s="82">
        <v>25</v>
      </c>
      <c r="R69" s="82"/>
      <c r="S69" s="82">
        <v>24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>
        <v>24</v>
      </c>
      <c r="AH69" s="82">
        <v>24</v>
      </c>
      <c r="AI69" s="82">
        <v>25</v>
      </c>
      <c r="AJ69" s="82">
        <v>25</v>
      </c>
      <c r="AK69" s="82">
        <f t="shared" si="4"/>
        <v>13</v>
      </c>
      <c r="AL69" s="83">
        <f>+(11+11+12+12+13)/5</f>
        <v>11.8</v>
      </c>
      <c r="AM69" s="84">
        <f>SUM(I69:AJ69)</f>
        <v>297</v>
      </c>
      <c r="AN69" s="123">
        <v>0</v>
      </c>
      <c r="AO69" s="52">
        <f t="shared" si="2"/>
        <v>297</v>
      </c>
      <c r="AP69" s="49">
        <f>+AO69/AL69*$AV$6</f>
        <v>313.81782655453094</v>
      </c>
      <c r="AQ69" s="11"/>
      <c r="AR69" s="22"/>
    </row>
    <row r="70" spans="1:44" ht="13.5">
      <c r="A70" s="43"/>
      <c r="B70" s="45"/>
      <c r="C70" s="12" t="s">
        <v>157</v>
      </c>
      <c r="D70" s="134" t="s">
        <v>155</v>
      </c>
      <c r="E70" s="13" t="s">
        <v>131</v>
      </c>
      <c r="F70" s="1" t="s">
        <v>242</v>
      </c>
      <c r="G70" s="1"/>
      <c r="H70" s="81" t="s">
        <v>70</v>
      </c>
      <c r="I70" s="82"/>
      <c r="J70" s="82"/>
      <c r="K70" s="82"/>
      <c r="L70" s="82"/>
      <c r="M70" s="82"/>
      <c r="N70" s="82"/>
      <c r="O70" s="82"/>
      <c r="P70" s="82"/>
      <c r="Q70" s="82"/>
      <c r="R70" s="82">
        <v>20</v>
      </c>
      <c r="S70" s="82">
        <v>20</v>
      </c>
      <c r="T70" s="82">
        <v>23</v>
      </c>
      <c r="U70" s="82">
        <v>23</v>
      </c>
      <c r="V70" s="82">
        <v>25</v>
      </c>
      <c r="W70" s="82"/>
      <c r="X70" s="82">
        <v>25</v>
      </c>
      <c r="Y70" s="82">
        <v>23</v>
      </c>
      <c r="Z70" s="82">
        <v>23</v>
      </c>
      <c r="AA70" s="82">
        <v>25</v>
      </c>
      <c r="AB70" s="82">
        <v>17.5</v>
      </c>
      <c r="AC70" s="82">
        <v>20</v>
      </c>
      <c r="AD70" s="82">
        <v>20</v>
      </c>
      <c r="AE70" s="82">
        <v>22</v>
      </c>
      <c r="AF70" s="82"/>
      <c r="AG70" s="82"/>
      <c r="AH70" s="82"/>
      <c r="AI70" s="82"/>
      <c r="AJ70" s="82"/>
      <c r="AK70" s="82">
        <f t="shared" si="4"/>
        <v>13</v>
      </c>
      <c r="AL70" s="83">
        <f>+(13+13+11+15+13+11+12)/7</f>
        <v>12.571428571428571</v>
      </c>
      <c r="AM70" s="84">
        <f t="shared" si="0"/>
        <v>286.5</v>
      </c>
      <c r="AN70" s="121">
        <v>10</v>
      </c>
      <c r="AO70" s="52">
        <f t="shared" si="2"/>
        <v>296.5</v>
      </c>
      <c r="AP70" s="49">
        <f t="shared" si="3"/>
        <v>294.06492991905276</v>
      </c>
      <c r="AQ70" s="11" t="s">
        <v>8</v>
      </c>
      <c r="AR70" s="22"/>
    </row>
    <row r="71" spans="1:44" ht="13.5">
      <c r="A71" s="43"/>
      <c r="B71" s="45"/>
      <c r="C71" s="12" t="s">
        <v>158</v>
      </c>
      <c r="D71" s="134" t="s">
        <v>241</v>
      </c>
      <c r="E71" s="13" t="s">
        <v>113</v>
      </c>
      <c r="F71" s="1" t="s">
        <v>27</v>
      </c>
      <c r="G71" s="1"/>
      <c r="H71" s="81" t="s">
        <v>70</v>
      </c>
      <c r="I71" s="82"/>
      <c r="J71" s="82"/>
      <c r="K71" s="82">
        <v>12.5</v>
      </c>
      <c r="L71" s="82"/>
      <c r="M71" s="82">
        <v>21</v>
      </c>
      <c r="N71" s="82"/>
      <c r="O71" s="82"/>
      <c r="P71" s="82"/>
      <c r="Q71" s="82"/>
      <c r="R71" s="82">
        <v>21</v>
      </c>
      <c r="S71" s="82"/>
      <c r="T71" s="82">
        <v>25</v>
      </c>
      <c r="U71" s="82">
        <v>23</v>
      </c>
      <c r="V71" s="82"/>
      <c r="W71" s="82"/>
      <c r="X71" s="82"/>
      <c r="Y71" s="82"/>
      <c r="Z71" s="82"/>
      <c r="AA71" s="82">
        <v>25</v>
      </c>
      <c r="AB71" s="82">
        <v>22.5</v>
      </c>
      <c r="AC71" s="82">
        <v>25</v>
      </c>
      <c r="AD71" s="82">
        <v>25</v>
      </c>
      <c r="AE71" s="82">
        <v>19</v>
      </c>
      <c r="AF71" s="82"/>
      <c r="AG71" s="82"/>
      <c r="AH71" s="82">
        <v>24</v>
      </c>
      <c r="AI71" s="82">
        <v>23</v>
      </c>
      <c r="AJ71" s="82">
        <v>25</v>
      </c>
      <c r="AK71" s="82">
        <f t="shared" si="4"/>
        <v>13</v>
      </c>
      <c r="AL71" s="83"/>
      <c r="AM71" s="84">
        <f>SUM(I71:AJ71)</f>
        <v>291</v>
      </c>
      <c r="AN71" s="123">
        <v>0</v>
      </c>
      <c r="AO71" s="52">
        <f>SUM(AM71:AN71)</f>
        <v>291</v>
      </c>
      <c r="AP71" s="49"/>
      <c r="AQ71" s="11"/>
      <c r="AR71" s="22"/>
    </row>
    <row r="72" spans="1:44" ht="13.5">
      <c r="A72" s="43"/>
      <c r="B72" s="45"/>
      <c r="C72" s="12" t="s">
        <v>159</v>
      </c>
      <c r="D72" s="134" t="s">
        <v>160</v>
      </c>
      <c r="E72" s="13" t="s">
        <v>169</v>
      </c>
      <c r="F72" s="1" t="s">
        <v>276</v>
      </c>
      <c r="G72" s="1"/>
      <c r="H72" s="81" t="s">
        <v>70</v>
      </c>
      <c r="I72" s="82"/>
      <c r="J72" s="82"/>
      <c r="K72" s="82"/>
      <c r="L72" s="82"/>
      <c r="M72" s="82"/>
      <c r="N72" s="82"/>
      <c r="O72" s="82"/>
      <c r="P72" s="82"/>
      <c r="Q72" s="82">
        <v>25</v>
      </c>
      <c r="R72" s="82">
        <v>25</v>
      </c>
      <c r="S72" s="82">
        <v>23</v>
      </c>
      <c r="T72" s="82">
        <v>23</v>
      </c>
      <c r="U72" s="82">
        <v>25</v>
      </c>
      <c r="V72" s="82">
        <v>25</v>
      </c>
      <c r="W72" s="82">
        <v>23</v>
      </c>
      <c r="X72" s="82">
        <v>25</v>
      </c>
      <c r="Y72" s="82">
        <v>24</v>
      </c>
      <c r="Z72" s="82">
        <v>25</v>
      </c>
      <c r="AA72" s="82">
        <v>25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>
        <f t="shared" si="4"/>
        <v>11</v>
      </c>
      <c r="AL72" s="83">
        <v>14</v>
      </c>
      <c r="AM72" s="84">
        <f t="shared" si="0"/>
        <v>268</v>
      </c>
      <c r="AN72" s="122">
        <v>9</v>
      </c>
      <c r="AO72" s="52">
        <f>SUM(AM72:AN72)</f>
        <v>277</v>
      </c>
      <c r="AP72" s="49">
        <f t="shared" si="3"/>
        <v>246.6919066561183</v>
      </c>
      <c r="AQ72" s="11" t="s">
        <v>8</v>
      </c>
      <c r="AR72" s="22"/>
    </row>
    <row r="73" spans="1:44" ht="13.5">
      <c r="A73" s="43">
        <v>60</v>
      </c>
      <c r="B73" s="45" t="s">
        <v>155</v>
      </c>
      <c r="C73" s="12" t="s">
        <v>160</v>
      </c>
      <c r="D73" s="134" t="s">
        <v>157</v>
      </c>
      <c r="E73" s="13" t="s">
        <v>134</v>
      </c>
      <c r="F73" s="1" t="s">
        <v>249</v>
      </c>
      <c r="G73" s="1"/>
      <c r="H73" s="81" t="s">
        <v>69</v>
      </c>
      <c r="I73" s="82">
        <v>25</v>
      </c>
      <c r="J73" s="82">
        <v>23</v>
      </c>
      <c r="K73" s="82">
        <v>15</v>
      </c>
      <c r="L73" s="82"/>
      <c r="M73" s="82">
        <v>22</v>
      </c>
      <c r="N73" s="82">
        <v>19</v>
      </c>
      <c r="O73" s="82">
        <v>17</v>
      </c>
      <c r="P73" s="82"/>
      <c r="Q73" s="82">
        <v>25</v>
      </c>
      <c r="R73" s="82">
        <v>21</v>
      </c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>
        <v>23</v>
      </c>
      <c r="AH73" s="82">
        <v>25</v>
      </c>
      <c r="AI73" s="82">
        <v>25</v>
      </c>
      <c r="AJ73" s="82">
        <v>24</v>
      </c>
      <c r="AK73" s="82">
        <f t="shared" si="1"/>
        <v>12</v>
      </c>
      <c r="AL73" s="83">
        <f>+(12+12+12+15)/4</f>
        <v>12.75</v>
      </c>
      <c r="AM73" s="84">
        <f t="shared" si="0"/>
        <v>264</v>
      </c>
      <c r="AN73" s="122">
        <v>9</v>
      </c>
      <c r="AO73" s="52">
        <f t="shared" si="2"/>
        <v>273</v>
      </c>
      <c r="AP73" s="49">
        <f>+AO73/AL73*$AV$6</f>
        <v>266.9658008748309</v>
      </c>
      <c r="AQ73" s="11" t="s">
        <v>4</v>
      </c>
      <c r="AR73" s="22"/>
    </row>
    <row r="74" spans="1:44" ht="13.5">
      <c r="A74" s="43"/>
      <c r="B74" s="45"/>
      <c r="C74" s="12" t="s">
        <v>161</v>
      </c>
      <c r="D74" s="134" t="s">
        <v>161</v>
      </c>
      <c r="E74" s="13" t="s">
        <v>153</v>
      </c>
      <c r="F74" s="1" t="s">
        <v>261</v>
      </c>
      <c r="G74" s="1"/>
      <c r="H74" s="91" t="s">
        <v>262</v>
      </c>
      <c r="I74" s="82"/>
      <c r="J74" s="82">
        <v>22</v>
      </c>
      <c r="K74" s="82">
        <v>20</v>
      </c>
      <c r="L74" s="82"/>
      <c r="M74" s="82">
        <v>17</v>
      </c>
      <c r="N74" s="82">
        <v>20</v>
      </c>
      <c r="O74" s="82">
        <v>22</v>
      </c>
      <c r="P74" s="82">
        <v>24</v>
      </c>
      <c r="Q74" s="82">
        <v>25</v>
      </c>
      <c r="R74" s="82">
        <v>23</v>
      </c>
      <c r="S74" s="82">
        <v>23</v>
      </c>
      <c r="T74" s="82">
        <v>25</v>
      </c>
      <c r="U74" s="82">
        <v>24</v>
      </c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>
        <f aca="true" t="shared" si="5" ref="AK74:AK87">COUNTA(I74:AJ74)</f>
        <v>11</v>
      </c>
      <c r="AL74" s="83">
        <f>+(12+14+13+13)/4</f>
        <v>13</v>
      </c>
      <c r="AM74" s="84">
        <f t="shared" si="0"/>
        <v>245</v>
      </c>
      <c r="AN74" s="121">
        <v>10</v>
      </c>
      <c r="AO74" s="52">
        <f t="shared" si="2"/>
        <v>255</v>
      </c>
      <c r="AP74" s="49">
        <f t="shared" si="3"/>
        <v>244.56820515477435</v>
      </c>
      <c r="AQ74" s="11" t="s">
        <v>8</v>
      </c>
      <c r="AR74" s="22"/>
    </row>
    <row r="75" spans="1:44" ht="13.5">
      <c r="A75" s="43">
        <v>42</v>
      </c>
      <c r="B75" s="45" t="s">
        <v>151</v>
      </c>
      <c r="C75" s="12" t="s">
        <v>162</v>
      </c>
      <c r="D75" s="134" t="s">
        <v>146</v>
      </c>
      <c r="E75" s="13" t="s">
        <v>103</v>
      </c>
      <c r="F75" s="1" t="s">
        <v>54</v>
      </c>
      <c r="G75" s="1"/>
      <c r="H75" s="81" t="s">
        <v>69</v>
      </c>
      <c r="I75" s="82">
        <v>25</v>
      </c>
      <c r="J75" s="82">
        <v>25</v>
      </c>
      <c r="K75" s="82">
        <v>20</v>
      </c>
      <c r="L75" s="82">
        <v>19</v>
      </c>
      <c r="M75" s="82">
        <v>21</v>
      </c>
      <c r="N75" s="82">
        <v>22</v>
      </c>
      <c r="O75" s="82">
        <v>19</v>
      </c>
      <c r="P75" s="82">
        <v>18</v>
      </c>
      <c r="Q75" s="82">
        <v>25</v>
      </c>
      <c r="R75" s="82">
        <v>22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>
        <v>24</v>
      </c>
      <c r="AK75" s="82">
        <f t="shared" si="5"/>
        <v>11</v>
      </c>
      <c r="AL75" s="83">
        <v>9.66</v>
      </c>
      <c r="AM75" s="84">
        <f t="shared" si="0"/>
        <v>240</v>
      </c>
      <c r="AN75" s="121">
        <v>10</v>
      </c>
      <c r="AO75" s="52">
        <f t="shared" si="2"/>
        <v>250</v>
      </c>
      <c r="AP75" s="49">
        <f>+AO75/AL75*$AV$6</f>
        <v>322.6755436824652</v>
      </c>
      <c r="AQ75" s="11" t="s">
        <v>8</v>
      </c>
      <c r="AR75" s="22"/>
    </row>
    <row r="76" spans="1:44" ht="13.5">
      <c r="A76" s="43">
        <v>17</v>
      </c>
      <c r="B76" s="45" t="s">
        <v>127</v>
      </c>
      <c r="C76" s="12" t="s">
        <v>234</v>
      </c>
      <c r="D76" s="134" t="s">
        <v>158</v>
      </c>
      <c r="E76" s="13" t="s">
        <v>146</v>
      </c>
      <c r="F76" s="1" t="s">
        <v>202</v>
      </c>
      <c r="G76" s="1"/>
      <c r="H76" s="91" t="s">
        <v>72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>
        <v>23</v>
      </c>
      <c r="V76" s="82"/>
      <c r="W76" s="82"/>
      <c r="X76" s="82"/>
      <c r="Y76" s="82">
        <v>24</v>
      </c>
      <c r="Z76" s="82">
        <v>25</v>
      </c>
      <c r="AA76" s="82">
        <v>25</v>
      </c>
      <c r="AB76" s="82">
        <v>25</v>
      </c>
      <c r="AC76" s="82">
        <v>22</v>
      </c>
      <c r="AD76" s="82">
        <v>24</v>
      </c>
      <c r="AE76" s="82">
        <v>21</v>
      </c>
      <c r="AF76" s="82">
        <v>25</v>
      </c>
      <c r="AG76" s="82">
        <v>23</v>
      </c>
      <c r="AH76" s="82"/>
      <c r="AI76" s="82"/>
      <c r="AJ76" s="82"/>
      <c r="AK76" s="82">
        <f t="shared" si="5"/>
        <v>10</v>
      </c>
      <c r="AL76" s="83">
        <f>+(13+13+12+12+11)/5</f>
        <v>12.2</v>
      </c>
      <c r="AM76" s="84">
        <f>SUM(I76:AJ76)</f>
        <v>237</v>
      </c>
      <c r="AN76" s="122">
        <v>9</v>
      </c>
      <c r="AO76" s="52">
        <f>SUM(AM76:AN76)</f>
        <v>246</v>
      </c>
      <c r="AP76" s="49">
        <f>+AO76/AL76*$AV$6</f>
        <v>251.40762458533217</v>
      </c>
      <c r="AQ76" s="11" t="s">
        <v>16</v>
      </c>
      <c r="AR76" s="22"/>
    </row>
    <row r="77" spans="1:44" ht="13.5">
      <c r="A77" s="43">
        <v>82</v>
      </c>
      <c r="B77" s="45" t="s">
        <v>114</v>
      </c>
      <c r="C77" s="12" t="s">
        <v>163</v>
      </c>
      <c r="D77" s="134" t="s">
        <v>163</v>
      </c>
      <c r="E77" s="13" t="s">
        <v>142</v>
      </c>
      <c r="F77" s="1" t="s">
        <v>252</v>
      </c>
      <c r="G77" s="1"/>
      <c r="H77" s="81" t="s">
        <v>69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>
        <v>25</v>
      </c>
      <c r="AA77" s="82">
        <v>25</v>
      </c>
      <c r="AB77" s="82"/>
      <c r="AC77" s="82">
        <v>25</v>
      </c>
      <c r="AD77" s="82">
        <v>23</v>
      </c>
      <c r="AE77" s="82">
        <v>17</v>
      </c>
      <c r="AF77" s="82">
        <v>24</v>
      </c>
      <c r="AG77" s="82">
        <v>23</v>
      </c>
      <c r="AH77" s="82">
        <v>25</v>
      </c>
      <c r="AI77" s="82">
        <v>20</v>
      </c>
      <c r="AJ77" s="82">
        <v>24</v>
      </c>
      <c r="AK77" s="82">
        <f t="shared" si="5"/>
        <v>10</v>
      </c>
      <c r="AL77" s="83">
        <f>+(14+12+12+12)/4</f>
        <v>12.5</v>
      </c>
      <c r="AM77" s="84">
        <f>SUM(I77:AJ77)</f>
        <v>231</v>
      </c>
      <c r="AN77" s="121">
        <v>10</v>
      </c>
      <c r="AO77" s="52">
        <f>SUM(AM77:AN77)</f>
        <v>241</v>
      </c>
      <c r="AP77" s="49">
        <f t="shared" si="3"/>
        <v>240.386568392128</v>
      </c>
      <c r="AQ77" s="11" t="s">
        <v>18</v>
      </c>
      <c r="AR77" s="22"/>
    </row>
    <row r="78" spans="1:44" ht="13.5">
      <c r="A78" s="43">
        <v>47</v>
      </c>
      <c r="B78" s="45"/>
      <c r="C78" s="12" t="s">
        <v>164</v>
      </c>
      <c r="D78" s="134" t="s">
        <v>162</v>
      </c>
      <c r="E78" s="13" t="s">
        <v>129</v>
      </c>
      <c r="F78" s="1" t="s">
        <v>199</v>
      </c>
      <c r="G78" s="1"/>
      <c r="H78" s="81" t="s">
        <v>70</v>
      </c>
      <c r="I78" s="82"/>
      <c r="J78" s="82"/>
      <c r="K78" s="82"/>
      <c r="L78" s="82"/>
      <c r="M78" s="82"/>
      <c r="N78" s="82"/>
      <c r="O78" s="82"/>
      <c r="P78" s="82"/>
      <c r="Q78" s="82"/>
      <c r="R78" s="82">
        <v>22</v>
      </c>
      <c r="S78" s="82"/>
      <c r="T78" s="82">
        <v>19</v>
      </c>
      <c r="U78" s="82">
        <v>24</v>
      </c>
      <c r="V78" s="82">
        <v>25</v>
      </c>
      <c r="W78" s="82">
        <v>24</v>
      </c>
      <c r="X78" s="82"/>
      <c r="Y78" s="82">
        <v>22</v>
      </c>
      <c r="Z78" s="82"/>
      <c r="AA78" s="82">
        <v>25</v>
      </c>
      <c r="AB78" s="82"/>
      <c r="AC78" s="82">
        <v>22</v>
      </c>
      <c r="AD78" s="82">
        <v>25</v>
      </c>
      <c r="AE78" s="82">
        <v>21</v>
      </c>
      <c r="AF78" s="82"/>
      <c r="AG78" s="82"/>
      <c r="AH78" s="82"/>
      <c r="AI78" s="82"/>
      <c r="AJ78" s="82"/>
      <c r="AK78" s="82">
        <f t="shared" si="5"/>
        <v>10</v>
      </c>
      <c r="AL78" s="83">
        <f>+(13+13+10+13)/4</f>
        <v>12.25</v>
      </c>
      <c r="AM78" s="84">
        <f t="shared" si="0"/>
        <v>229</v>
      </c>
      <c r="AN78" s="121">
        <v>10</v>
      </c>
      <c r="AO78" s="52">
        <f t="shared" si="2"/>
        <v>239</v>
      </c>
      <c r="AP78" s="49">
        <f t="shared" si="3"/>
        <v>243.2567950110873</v>
      </c>
      <c r="AQ78" s="11" t="s">
        <v>187</v>
      </c>
      <c r="AR78" s="22"/>
    </row>
    <row r="79" spans="1:44" ht="13.5">
      <c r="A79" s="43">
        <v>97</v>
      </c>
      <c r="B79" s="45" t="s">
        <v>164</v>
      </c>
      <c r="C79" s="12" t="s">
        <v>165</v>
      </c>
      <c r="D79" s="134" t="s">
        <v>159</v>
      </c>
      <c r="E79" s="13" t="s">
        <v>128</v>
      </c>
      <c r="F79" s="1" t="s">
        <v>198</v>
      </c>
      <c r="G79" s="1"/>
      <c r="H79" s="81" t="s">
        <v>70</v>
      </c>
      <c r="I79" s="82"/>
      <c r="J79" s="82"/>
      <c r="K79" s="82"/>
      <c r="L79" s="82"/>
      <c r="M79" s="82"/>
      <c r="N79" s="82"/>
      <c r="O79" s="82"/>
      <c r="P79" s="82"/>
      <c r="Q79" s="82"/>
      <c r="R79" s="82">
        <v>24</v>
      </c>
      <c r="S79" s="82"/>
      <c r="T79" s="82">
        <v>24</v>
      </c>
      <c r="U79" s="82">
        <v>25</v>
      </c>
      <c r="V79" s="82">
        <v>25</v>
      </c>
      <c r="W79" s="82">
        <v>21</v>
      </c>
      <c r="X79" s="82"/>
      <c r="Y79" s="82">
        <v>19</v>
      </c>
      <c r="Z79" s="82"/>
      <c r="AA79" s="82">
        <v>25</v>
      </c>
      <c r="AB79" s="82"/>
      <c r="AC79" s="82">
        <v>21</v>
      </c>
      <c r="AD79" s="82">
        <v>24</v>
      </c>
      <c r="AE79" s="82">
        <v>20</v>
      </c>
      <c r="AF79" s="82"/>
      <c r="AG79" s="82"/>
      <c r="AH79" s="82"/>
      <c r="AI79" s="82"/>
      <c r="AJ79" s="82"/>
      <c r="AK79" s="82">
        <f t="shared" si="5"/>
        <v>10</v>
      </c>
      <c r="AL79" s="83">
        <f>(14+10+11+13)/4</f>
        <v>12</v>
      </c>
      <c r="AM79" s="84">
        <f>SUM(I79:AJ79)</f>
        <v>228</v>
      </c>
      <c r="AN79" s="121">
        <v>10</v>
      </c>
      <c r="AO79" s="52">
        <f>SUM(AM79:AN79)</f>
        <v>238</v>
      </c>
      <c r="AP79" s="49">
        <f aca="true" t="shared" si="6" ref="AP79:AP97">+AO79/AL79*$AV$6</f>
        <v>247.28562965649402</v>
      </c>
      <c r="AQ79" s="11" t="s">
        <v>187</v>
      </c>
      <c r="AR79" s="22"/>
    </row>
    <row r="80" spans="1:44" ht="13.5">
      <c r="A80" s="43"/>
      <c r="B80" s="45"/>
      <c r="C80" s="12" t="s">
        <v>166</v>
      </c>
      <c r="D80" s="134" t="s">
        <v>147</v>
      </c>
      <c r="E80" s="13" t="s">
        <v>110</v>
      </c>
      <c r="F80" s="1" t="s">
        <v>225</v>
      </c>
      <c r="G80" s="1"/>
      <c r="H80" s="81" t="s">
        <v>69</v>
      </c>
      <c r="I80" s="82"/>
      <c r="J80" s="82"/>
      <c r="K80" s="82"/>
      <c r="L80" s="82"/>
      <c r="M80" s="82"/>
      <c r="N80" s="82"/>
      <c r="O80" s="82"/>
      <c r="P80" s="82"/>
      <c r="Q80" s="82"/>
      <c r="R80" s="82">
        <v>20</v>
      </c>
      <c r="S80" s="82"/>
      <c r="T80" s="82">
        <v>24</v>
      </c>
      <c r="U80" s="82">
        <v>20</v>
      </c>
      <c r="V80" s="82">
        <v>25</v>
      </c>
      <c r="W80" s="82">
        <v>19</v>
      </c>
      <c r="X80" s="82">
        <v>25</v>
      </c>
      <c r="Y80" s="82">
        <v>23</v>
      </c>
      <c r="Z80" s="82">
        <v>23</v>
      </c>
      <c r="AA80" s="82"/>
      <c r="AB80" s="82"/>
      <c r="AC80" s="82"/>
      <c r="AD80" s="82"/>
      <c r="AE80" s="82"/>
      <c r="AF80" s="82"/>
      <c r="AG80" s="82">
        <v>25</v>
      </c>
      <c r="AH80" s="82"/>
      <c r="AI80" s="82"/>
      <c r="AJ80" s="82">
        <v>24</v>
      </c>
      <c r="AK80" s="82">
        <f t="shared" si="5"/>
        <v>10</v>
      </c>
      <c r="AL80" s="83">
        <v>9.2</v>
      </c>
      <c r="AM80" s="84">
        <f t="shared" si="0"/>
        <v>228</v>
      </c>
      <c r="AN80" s="122">
        <v>9</v>
      </c>
      <c r="AO80" s="52">
        <f t="shared" si="2"/>
        <v>237</v>
      </c>
      <c r="AP80" s="49">
        <f t="shared" si="6"/>
        <v>321.19123618152594</v>
      </c>
      <c r="AQ80" s="11"/>
      <c r="AR80" s="22"/>
    </row>
    <row r="81" spans="1:44" ht="13.5">
      <c r="A81" s="43">
        <v>90</v>
      </c>
      <c r="B81" s="45" t="s">
        <v>162</v>
      </c>
      <c r="C81" s="12" t="s">
        <v>167</v>
      </c>
      <c r="D81" s="134" t="s">
        <v>170</v>
      </c>
      <c r="E81" s="13" t="s">
        <v>104</v>
      </c>
      <c r="F81" s="1" t="s">
        <v>27</v>
      </c>
      <c r="G81" s="1"/>
      <c r="H81" s="81" t="s">
        <v>70</v>
      </c>
      <c r="I81" s="82">
        <v>22</v>
      </c>
      <c r="J81" s="82">
        <v>22</v>
      </c>
      <c r="K81" s="82">
        <v>18</v>
      </c>
      <c r="L81" s="82">
        <v>23</v>
      </c>
      <c r="M81" s="82">
        <v>21</v>
      </c>
      <c r="N81" s="82">
        <v>17</v>
      </c>
      <c r="O81" s="82"/>
      <c r="P81" s="82"/>
      <c r="Q81" s="82">
        <v>24</v>
      </c>
      <c r="R81" s="82">
        <v>23</v>
      </c>
      <c r="S81" s="82">
        <v>21</v>
      </c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>
        <v>25</v>
      </c>
      <c r="AK81" s="82">
        <f t="shared" si="5"/>
        <v>10</v>
      </c>
      <c r="AL81" s="83">
        <v>16.16</v>
      </c>
      <c r="AM81" s="84">
        <f t="shared" si="0"/>
        <v>216</v>
      </c>
      <c r="AN81" s="121">
        <v>10</v>
      </c>
      <c r="AO81" s="52">
        <f t="shared" si="2"/>
        <v>226</v>
      </c>
      <c r="AP81" s="49">
        <f t="shared" si="6"/>
        <v>174.36939107569572</v>
      </c>
      <c r="AQ81" s="11" t="s">
        <v>189</v>
      </c>
      <c r="AR81" s="22"/>
    </row>
    <row r="82" spans="1:44" ht="13.5">
      <c r="A82" s="43"/>
      <c r="B82" s="45"/>
      <c r="C82" s="12" t="s">
        <v>168</v>
      </c>
      <c r="D82" s="134" t="s">
        <v>164</v>
      </c>
      <c r="E82" s="13" t="s">
        <v>143</v>
      </c>
      <c r="F82" s="1" t="s">
        <v>251</v>
      </c>
      <c r="G82" s="1"/>
      <c r="H82" s="81" t="s">
        <v>69</v>
      </c>
      <c r="I82" s="82"/>
      <c r="J82" s="82"/>
      <c r="K82" s="82"/>
      <c r="L82" s="82"/>
      <c r="M82" s="82"/>
      <c r="N82" s="82"/>
      <c r="O82" s="82"/>
      <c r="P82" s="82"/>
      <c r="Q82" s="82">
        <v>24</v>
      </c>
      <c r="R82" s="82">
        <v>24</v>
      </c>
      <c r="S82" s="82">
        <v>22.5</v>
      </c>
      <c r="T82" s="82">
        <v>23.5</v>
      </c>
      <c r="U82" s="82">
        <v>25</v>
      </c>
      <c r="V82" s="82">
        <v>25</v>
      </c>
      <c r="W82" s="82">
        <v>21</v>
      </c>
      <c r="X82" s="82">
        <v>25</v>
      </c>
      <c r="Y82" s="82">
        <v>23</v>
      </c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>
        <f t="shared" si="5"/>
        <v>9</v>
      </c>
      <c r="AL82" s="83">
        <f>+(12+12+13+12)/4</f>
        <v>12.25</v>
      </c>
      <c r="AM82" s="84">
        <f>SUM(I82:AJ82)</f>
        <v>213</v>
      </c>
      <c r="AN82" s="121">
        <v>10</v>
      </c>
      <c r="AO82" s="52">
        <f>SUM(AM82:AN82)</f>
        <v>223</v>
      </c>
      <c r="AP82" s="49">
        <f t="shared" si="6"/>
        <v>226.97182128649564</v>
      </c>
      <c r="AQ82" s="11" t="s">
        <v>25</v>
      </c>
      <c r="AR82" s="22"/>
    </row>
    <row r="83" spans="1:44" ht="12.75">
      <c r="A83" s="92"/>
      <c r="B83" s="90" t="s">
        <v>185</v>
      </c>
      <c r="C83" s="12" t="s">
        <v>235</v>
      </c>
      <c r="D83" s="134" t="s">
        <v>165</v>
      </c>
      <c r="E83" s="13" t="s">
        <v>175</v>
      </c>
      <c r="F83" s="1" t="s">
        <v>90</v>
      </c>
      <c r="G83" s="1"/>
      <c r="H83" s="91" t="s">
        <v>283</v>
      </c>
      <c r="I83" s="93">
        <v>21</v>
      </c>
      <c r="J83" s="93">
        <v>23</v>
      </c>
      <c r="K83" s="93">
        <v>18</v>
      </c>
      <c r="L83" s="93">
        <v>4</v>
      </c>
      <c r="M83" s="93">
        <v>25</v>
      </c>
      <c r="N83" s="93">
        <v>21</v>
      </c>
      <c r="O83" s="93">
        <v>24</v>
      </c>
      <c r="P83" s="93">
        <v>25</v>
      </c>
      <c r="Q83" s="93">
        <v>25</v>
      </c>
      <c r="R83" s="93">
        <v>24</v>
      </c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>
        <f t="shared" si="5"/>
        <v>10</v>
      </c>
      <c r="AL83" s="94">
        <v>13</v>
      </c>
      <c r="AM83" s="95">
        <f>SUM(I83:AJ83)</f>
        <v>210</v>
      </c>
      <c r="AN83" s="121">
        <v>10</v>
      </c>
      <c r="AO83" s="52">
        <f>SUM(AM83:AN83)</f>
        <v>220</v>
      </c>
      <c r="AP83" s="49">
        <f t="shared" si="6"/>
        <v>211.0000201335308</v>
      </c>
      <c r="AQ83" s="11"/>
      <c r="AR83" s="96"/>
    </row>
    <row r="84" spans="1:44" ht="13.5">
      <c r="A84" s="43"/>
      <c r="B84" s="45"/>
      <c r="C84" s="12" t="s">
        <v>169</v>
      </c>
      <c r="D84" s="134" t="s">
        <v>154</v>
      </c>
      <c r="E84" s="13" t="s">
        <v>109</v>
      </c>
      <c r="F84" s="1" t="s">
        <v>226</v>
      </c>
      <c r="G84" s="1"/>
      <c r="H84" s="81" t="s">
        <v>69</v>
      </c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>
        <v>22</v>
      </c>
      <c r="U84" s="82">
        <v>24</v>
      </c>
      <c r="V84" s="82">
        <v>25</v>
      </c>
      <c r="W84" s="82">
        <v>17</v>
      </c>
      <c r="X84" s="82">
        <v>25</v>
      </c>
      <c r="Y84" s="82">
        <v>23</v>
      </c>
      <c r="Z84" s="82">
        <v>23</v>
      </c>
      <c r="AA84" s="82"/>
      <c r="AB84" s="82"/>
      <c r="AC84" s="82"/>
      <c r="AD84" s="82"/>
      <c r="AE84" s="82"/>
      <c r="AF84" s="82"/>
      <c r="AG84" s="82">
        <v>25</v>
      </c>
      <c r="AH84" s="82"/>
      <c r="AI84" s="82"/>
      <c r="AJ84" s="82">
        <v>24</v>
      </c>
      <c r="AK84" s="82">
        <f t="shared" si="5"/>
        <v>9</v>
      </c>
      <c r="AL84" s="83">
        <v>9.14</v>
      </c>
      <c r="AM84" s="84">
        <f>SUM(I84:AJ84)</f>
        <v>208</v>
      </c>
      <c r="AN84" s="122">
        <v>9</v>
      </c>
      <c r="AO84" s="52">
        <f>SUM(AM84:AN84)</f>
        <v>217</v>
      </c>
      <c r="AP84" s="49">
        <f t="shared" si="6"/>
        <v>296.01703640177556</v>
      </c>
      <c r="AQ84" s="11" t="s">
        <v>49</v>
      </c>
      <c r="AR84" s="22"/>
    </row>
    <row r="85" spans="1:44" ht="13.5">
      <c r="A85" s="43"/>
      <c r="B85" s="45"/>
      <c r="C85" s="12" t="s">
        <v>170</v>
      </c>
      <c r="D85" s="134" t="s">
        <v>166</v>
      </c>
      <c r="E85" s="13" t="s">
        <v>135</v>
      </c>
      <c r="F85" s="1" t="s">
        <v>200</v>
      </c>
      <c r="G85" s="1"/>
      <c r="H85" s="81" t="s">
        <v>69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>
        <v>21</v>
      </c>
      <c r="T85" s="82">
        <v>21</v>
      </c>
      <c r="U85" s="82">
        <v>20</v>
      </c>
      <c r="V85" s="82">
        <v>24</v>
      </c>
      <c r="W85" s="82">
        <v>19</v>
      </c>
      <c r="X85" s="82">
        <v>25</v>
      </c>
      <c r="Y85" s="82">
        <v>22</v>
      </c>
      <c r="Z85" s="82">
        <v>25</v>
      </c>
      <c r="AA85" s="82"/>
      <c r="AB85" s="82"/>
      <c r="AC85" s="82"/>
      <c r="AD85" s="82"/>
      <c r="AE85" s="82"/>
      <c r="AF85" s="82"/>
      <c r="AG85" s="82">
        <v>24</v>
      </c>
      <c r="AH85" s="82"/>
      <c r="AI85" s="82"/>
      <c r="AJ85" s="82"/>
      <c r="AK85" s="82">
        <f t="shared" si="5"/>
        <v>9</v>
      </c>
      <c r="AL85" s="83">
        <f>+(12+12+13+13)/4</f>
        <v>12.5</v>
      </c>
      <c r="AM85" s="84">
        <f>SUM(I85:AJ85)</f>
        <v>201</v>
      </c>
      <c r="AN85" s="121">
        <v>10</v>
      </c>
      <c r="AO85" s="52">
        <f>SUM(AM85:AN85)</f>
        <v>211</v>
      </c>
      <c r="AP85" s="49">
        <f t="shared" si="6"/>
        <v>210.46292917319087</v>
      </c>
      <c r="AQ85" s="11" t="s">
        <v>18</v>
      </c>
      <c r="AR85" s="22"/>
    </row>
    <row r="86" spans="1:44" ht="13.5">
      <c r="A86" s="43"/>
      <c r="B86" s="45"/>
      <c r="C86" s="12" t="s">
        <v>171</v>
      </c>
      <c r="D86" s="134" t="s">
        <v>169</v>
      </c>
      <c r="E86" s="13" t="s">
        <v>236</v>
      </c>
      <c r="F86" s="40" t="s">
        <v>280</v>
      </c>
      <c r="G86" s="1"/>
      <c r="H86" s="81" t="s">
        <v>73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>
        <v>23</v>
      </c>
      <c r="T86" s="82">
        <v>24</v>
      </c>
      <c r="U86" s="82">
        <v>25</v>
      </c>
      <c r="V86" s="82">
        <v>25</v>
      </c>
      <c r="W86" s="82">
        <v>20</v>
      </c>
      <c r="X86" s="82">
        <v>25</v>
      </c>
      <c r="Y86" s="82"/>
      <c r="Z86" s="82"/>
      <c r="AA86" s="82"/>
      <c r="AB86" s="82"/>
      <c r="AC86" s="82"/>
      <c r="AD86" s="82"/>
      <c r="AE86" s="82"/>
      <c r="AF86" s="82"/>
      <c r="AG86" s="82">
        <v>23</v>
      </c>
      <c r="AH86" s="82"/>
      <c r="AI86" s="82"/>
      <c r="AJ86" s="82">
        <v>19</v>
      </c>
      <c r="AK86" s="82">
        <f t="shared" si="5"/>
        <v>8</v>
      </c>
      <c r="AL86" s="83">
        <f>+(13+14+11+13)/4</f>
        <v>12.75</v>
      </c>
      <c r="AM86" s="84">
        <f t="shared" si="0"/>
        <v>184</v>
      </c>
      <c r="AN86" s="123">
        <v>0</v>
      </c>
      <c r="AO86" s="52">
        <f t="shared" si="2"/>
        <v>184</v>
      </c>
      <c r="AP86" s="49">
        <f t="shared" si="6"/>
        <v>179.93299399622305</v>
      </c>
      <c r="AQ86" s="11" t="s">
        <v>10</v>
      </c>
      <c r="AR86" s="22"/>
    </row>
    <row r="87" spans="1:44" ht="13.5">
      <c r="A87" s="43"/>
      <c r="B87" s="45" t="s">
        <v>167</v>
      </c>
      <c r="C87" s="12" t="s">
        <v>172</v>
      </c>
      <c r="D87" s="134" t="s">
        <v>168</v>
      </c>
      <c r="E87" s="13" t="s">
        <v>214</v>
      </c>
      <c r="F87" s="1" t="s">
        <v>192</v>
      </c>
      <c r="G87" s="1"/>
      <c r="H87" s="81" t="s">
        <v>69</v>
      </c>
      <c r="I87" s="82">
        <v>21</v>
      </c>
      <c r="J87" s="82">
        <v>25</v>
      </c>
      <c r="K87" s="82">
        <v>20</v>
      </c>
      <c r="L87" s="82">
        <v>20</v>
      </c>
      <c r="M87" s="82">
        <v>14</v>
      </c>
      <c r="N87" s="82">
        <v>24</v>
      </c>
      <c r="O87" s="82">
        <v>23</v>
      </c>
      <c r="P87" s="82">
        <v>25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>
        <f t="shared" si="5"/>
        <v>8</v>
      </c>
      <c r="AL87" s="83">
        <f>+(12+11+12+12+13+12)/6</f>
        <v>12</v>
      </c>
      <c r="AM87" s="84">
        <f>SUM(I87:AJ87)</f>
        <v>172</v>
      </c>
      <c r="AN87" s="121">
        <v>10</v>
      </c>
      <c r="AO87" s="52">
        <f>SUM(AM87:AN87)</f>
        <v>182</v>
      </c>
      <c r="AP87" s="49">
        <f t="shared" si="6"/>
        <v>189.1007756196719</v>
      </c>
      <c r="AQ87" s="11" t="s">
        <v>189</v>
      </c>
      <c r="AR87" s="22"/>
    </row>
    <row r="88" spans="1:44" ht="13.5">
      <c r="A88" s="43"/>
      <c r="B88" s="45"/>
      <c r="C88" s="12" t="s">
        <v>236</v>
      </c>
      <c r="D88" s="134" t="s">
        <v>236</v>
      </c>
      <c r="E88" s="13" t="s">
        <v>140</v>
      </c>
      <c r="F88" s="1" t="s">
        <v>250</v>
      </c>
      <c r="G88" s="1"/>
      <c r="H88" s="81" t="s">
        <v>70</v>
      </c>
      <c r="I88" s="82">
        <v>23</v>
      </c>
      <c r="J88" s="82">
        <v>23</v>
      </c>
      <c r="K88" s="82">
        <v>18</v>
      </c>
      <c r="L88" s="82">
        <v>27</v>
      </c>
      <c r="M88" s="82">
        <v>20</v>
      </c>
      <c r="N88" s="82">
        <v>22</v>
      </c>
      <c r="O88" s="82">
        <v>18</v>
      </c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>
        <f t="shared" si="1"/>
        <v>7</v>
      </c>
      <c r="AL88" s="83">
        <f>+(13+11+12+13)/4</f>
        <v>12.25</v>
      </c>
      <c r="AM88" s="84">
        <f t="shared" si="0"/>
        <v>151</v>
      </c>
      <c r="AN88" s="121">
        <v>10</v>
      </c>
      <c r="AO88" s="52">
        <f t="shared" si="2"/>
        <v>161</v>
      </c>
      <c r="AP88" s="49">
        <f t="shared" si="6"/>
        <v>163.86754810370314</v>
      </c>
      <c r="AQ88" s="11" t="s">
        <v>189</v>
      </c>
      <c r="AR88" s="22"/>
    </row>
    <row r="89" spans="1:44" ht="13.5">
      <c r="A89" s="43">
        <v>76</v>
      </c>
      <c r="B89" s="45" t="s">
        <v>148</v>
      </c>
      <c r="C89" s="12" t="s">
        <v>173</v>
      </c>
      <c r="D89" s="134" t="s">
        <v>167</v>
      </c>
      <c r="E89" s="13" t="s">
        <v>171</v>
      </c>
      <c r="F89" s="1" t="s">
        <v>278</v>
      </c>
      <c r="G89" s="1"/>
      <c r="H89" s="81" t="s">
        <v>70</v>
      </c>
      <c r="I89" s="82">
        <v>21</v>
      </c>
      <c r="J89" s="82">
        <v>21</v>
      </c>
      <c r="K89" s="82">
        <v>20</v>
      </c>
      <c r="L89" s="82">
        <v>18</v>
      </c>
      <c r="M89" s="82">
        <v>20</v>
      </c>
      <c r="N89" s="82">
        <v>22</v>
      </c>
      <c r="O89" s="82">
        <v>20</v>
      </c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>
        <f>COUNTA(I89:AJ89)</f>
        <v>7</v>
      </c>
      <c r="AL89" s="83">
        <f>+(10+10+10+8+10)/5</f>
        <v>9.6</v>
      </c>
      <c r="AM89" s="84">
        <f t="shared" si="0"/>
        <v>142</v>
      </c>
      <c r="AN89" s="121">
        <v>10</v>
      </c>
      <c r="AO89" s="52">
        <f t="shared" si="2"/>
        <v>152</v>
      </c>
      <c r="AP89" s="49">
        <f t="shared" si="6"/>
        <v>197.41289762493224</v>
      </c>
      <c r="AQ89" s="11"/>
      <c r="AR89" s="22"/>
    </row>
    <row r="90" spans="1:44" ht="13.5">
      <c r="A90" s="43"/>
      <c r="B90" s="45"/>
      <c r="C90" s="12" t="s">
        <v>174</v>
      </c>
      <c r="D90" s="134" t="s">
        <v>171</v>
      </c>
      <c r="E90" s="13" t="s">
        <v>108</v>
      </c>
      <c r="F90" s="1" t="s">
        <v>224</v>
      </c>
      <c r="G90" s="1"/>
      <c r="H90" s="81" t="s">
        <v>69</v>
      </c>
      <c r="I90" s="82"/>
      <c r="J90" s="82"/>
      <c r="K90" s="82">
        <v>18</v>
      </c>
      <c r="L90" s="82">
        <v>16</v>
      </c>
      <c r="M90" s="82">
        <v>19</v>
      </c>
      <c r="N90" s="82">
        <v>18</v>
      </c>
      <c r="O90" s="82">
        <v>22</v>
      </c>
      <c r="P90" s="82">
        <v>24</v>
      </c>
      <c r="Q90" s="82"/>
      <c r="R90" s="82"/>
      <c r="S90" s="82"/>
      <c r="T90" s="82"/>
      <c r="U90" s="82">
        <v>24</v>
      </c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>
        <f t="shared" si="1"/>
        <v>7</v>
      </c>
      <c r="AL90" s="83">
        <f>+(13+11+12+10+10)/5</f>
        <v>11.2</v>
      </c>
      <c r="AM90" s="84">
        <f t="shared" si="0"/>
        <v>141</v>
      </c>
      <c r="AN90" s="121">
        <v>10</v>
      </c>
      <c r="AO90" s="52">
        <f t="shared" si="2"/>
        <v>151</v>
      </c>
      <c r="AP90" s="49">
        <f t="shared" si="6"/>
        <v>168.09782448138026</v>
      </c>
      <c r="AQ90" s="11" t="s">
        <v>6</v>
      </c>
      <c r="AR90" s="22"/>
    </row>
    <row r="91" spans="1:44" ht="13.5">
      <c r="A91" s="43"/>
      <c r="B91" s="45"/>
      <c r="C91" s="12" t="s">
        <v>175</v>
      </c>
      <c r="D91" s="134" t="s">
        <v>173</v>
      </c>
      <c r="E91" s="13" t="s">
        <v>174</v>
      </c>
      <c r="F91" s="1" t="s">
        <v>282</v>
      </c>
      <c r="G91" s="1"/>
      <c r="H91" s="91" t="s">
        <v>283</v>
      </c>
      <c r="I91" s="82">
        <v>21</v>
      </c>
      <c r="J91" s="82">
        <v>23</v>
      </c>
      <c r="K91" s="82">
        <v>18.5</v>
      </c>
      <c r="L91" s="82"/>
      <c r="M91" s="82">
        <v>23</v>
      </c>
      <c r="N91" s="82">
        <v>21</v>
      </c>
      <c r="O91" s="82">
        <v>3</v>
      </c>
      <c r="P91" s="82">
        <v>25</v>
      </c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>
        <f aca="true" t="shared" si="7" ref="AK91:AK98">COUNTA(I91:AJ91)</f>
        <v>7</v>
      </c>
      <c r="AL91" s="83">
        <f>+(12+11+11+11)/4</f>
        <v>11.25</v>
      </c>
      <c r="AM91" s="84">
        <f>SUM(I91:AJ91)</f>
        <v>134.5</v>
      </c>
      <c r="AN91" s="122">
        <v>9</v>
      </c>
      <c r="AO91" s="52">
        <f>SUM(AM91:AN91)</f>
        <v>143.5</v>
      </c>
      <c r="AP91" s="49">
        <f t="shared" si="6"/>
        <v>159.03860103398048</v>
      </c>
      <c r="AQ91" s="11" t="s">
        <v>1</v>
      </c>
      <c r="AR91" s="22"/>
    </row>
    <row r="92" spans="1:44" ht="13.5">
      <c r="A92" s="43"/>
      <c r="B92" s="45"/>
      <c r="C92" s="12" t="s">
        <v>237</v>
      </c>
      <c r="D92" s="134" t="s">
        <v>235</v>
      </c>
      <c r="E92" s="13" t="s">
        <v>239</v>
      </c>
      <c r="F92" s="1" t="s">
        <v>286</v>
      </c>
      <c r="G92" s="1"/>
      <c r="H92" s="81" t="s">
        <v>69</v>
      </c>
      <c r="I92" s="82"/>
      <c r="J92" s="82"/>
      <c r="K92" s="82"/>
      <c r="L92" s="82"/>
      <c r="M92" s="82"/>
      <c r="N92" s="82"/>
      <c r="O92" s="82"/>
      <c r="P92" s="82"/>
      <c r="Q92" s="82">
        <v>22</v>
      </c>
      <c r="R92" s="82">
        <v>23</v>
      </c>
      <c r="S92" s="82">
        <v>20</v>
      </c>
      <c r="T92" s="82">
        <v>23</v>
      </c>
      <c r="U92" s="82">
        <v>20</v>
      </c>
      <c r="V92" s="82"/>
      <c r="W92" s="82">
        <v>25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>
        <f t="shared" si="7"/>
        <v>6</v>
      </c>
      <c r="AL92" s="83">
        <f>+(9+10+9+11)/4</f>
        <v>9.75</v>
      </c>
      <c r="AM92" s="84">
        <f>SUM(I92:AJ92)</f>
        <v>133</v>
      </c>
      <c r="AN92" s="122">
        <v>9</v>
      </c>
      <c r="AO92" s="52">
        <f>SUM(AM92:AN92)</f>
        <v>142</v>
      </c>
      <c r="AP92" s="49">
        <f t="shared" si="6"/>
        <v>181.5878961149174</v>
      </c>
      <c r="AQ92" s="11" t="s">
        <v>10</v>
      </c>
      <c r="AR92" s="22"/>
    </row>
    <row r="93" spans="1:44" ht="13.5">
      <c r="A93" s="43"/>
      <c r="B93" s="45" t="s">
        <v>132</v>
      </c>
      <c r="C93" s="12" t="s">
        <v>176</v>
      </c>
      <c r="D93" s="134" t="s">
        <v>172</v>
      </c>
      <c r="E93" s="13" t="s">
        <v>114</v>
      </c>
      <c r="F93" s="1" t="s">
        <v>195</v>
      </c>
      <c r="G93" s="1"/>
      <c r="H93" s="81" t="s">
        <v>69</v>
      </c>
      <c r="I93" s="82"/>
      <c r="J93" s="82"/>
      <c r="K93" s="82"/>
      <c r="L93" s="82"/>
      <c r="M93" s="82"/>
      <c r="N93" s="82"/>
      <c r="O93" s="82"/>
      <c r="P93" s="82"/>
      <c r="Q93" s="82"/>
      <c r="R93" s="82">
        <v>23</v>
      </c>
      <c r="S93" s="82"/>
      <c r="T93" s="82">
        <v>20</v>
      </c>
      <c r="U93" s="82">
        <v>24</v>
      </c>
      <c r="V93" s="82"/>
      <c r="W93" s="82">
        <v>19</v>
      </c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>
        <v>20</v>
      </c>
      <c r="AI93" s="82">
        <v>20</v>
      </c>
      <c r="AJ93" s="82"/>
      <c r="AK93" s="82">
        <f t="shared" si="7"/>
        <v>6</v>
      </c>
      <c r="AL93" s="83">
        <f>+(9+9+9+10+11+11+11+10+10+10+11)/11</f>
        <v>10.090909090909092</v>
      </c>
      <c r="AM93" s="84">
        <f>SUM(I93:AJ93)</f>
        <v>126</v>
      </c>
      <c r="AN93" s="122">
        <v>9</v>
      </c>
      <c r="AO93" s="52">
        <f>SUM(AM93:AN93)</f>
        <v>135</v>
      </c>
      <c r="AP93" s="49">
        <f t="shared" si="6"/>
        <v>166.80406997042635</v>
      </c>
      <c r="AQ93" s="11" t="s">
        <v>228</v>
      </c>
      <c r="AR93" s="22"/>
    </row>
    <row r="94" spans="1:44" ht="13.5">
      <c r="A94" s="43"/>
      <c r="B94" s="45"/>
      <c r="C94" s="12" t="s">
        <v>177</v>
      </c>
      <c r="D94" s="134" t="s">
        <v>177</v>
      </c>
      <c r="E94" s="13" t="s">
        <v>235</v>
      </c>
      <c r="F94" s="1" t="s">
        <v>275</v>
      </c>
      <c r="G94" s="1"/>
      <c r="H94" s="81" t="s">
        <v>69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>
        <v>21</v>
      </c>
      <c r="AF94" s="82">
        <v>20</v>
      </c>
      <c r="AG94" s="82">
        <v>21</v>
      </c>
      <c r="AH94" s="82">
        <v>21</v>
      </c>
      <c r="AI94" s="82">
        <v>20</v>
      </c>
      <c r="AJ94" s="82">
        <v>20</v>
      </c>
      <c r="AK94" s="82">
        <f t="shared" si="7"/>
        <v>6</v>
      </c>
      <c r="AL94" s="83">
        <f>+(12+13+14+16+17+16)/6</f>
        <v>14.666666666666666</v>
      </c>
      <c r="AM94" s="84">
        <f t="shared" si="0"/>
        <v>123</v>
      </c>
      <c r="AN94" s="121">
        <v>10</v>
      </c>
      <c r="AO94" s="52">
        <f t="shared" si="2"/>
        <v>133</v>
      </c>
      <c r="AP94" s="49">
        <f t="shared" si="6"/>
        <v>113.06375045791573</v>
      </c>
      <c r="AQ94" s="11" t="s">
        <v>19</v>
      </c>
      <c r="AR94" s="22"/>
    </row>
    <row r="95" spans="1:44" ht="13.5">
      <c r="A95" s="43"/>
      <c r="B95" s="90" t="s">
        <v>184</v>
      </c>
      <c r="C95" s="12" t="s">
        <v>238</v>
      </c>
      <c r="D95" s="134" t="s">
        <v>176</v>
      </c>
      <c r="E95" s="13" t="s">
        <v>147</v>
      </c>
      <c r="F95" s="1" t="s">
        <v>203</v>
      </c>
      <c r="G95" s="1"/>
      <c r="H95" s="81" t="s">
        <v>69</v>
      </c>
      <c r="I95" s="82">
        <v>21</v>
      </c>
      <c r="J95" s="82">
        <v>23</v>
      </c>
      <c r="K95" s="82">
        <v>12</v>
      </c>
      <c r="L95" s="82"/>
      <c r="M95" s="82">
        <v>22</v>
      </c>
      <c r="N95" s="82">
        <v>15</v>
      </c>
      <c r="O95" s="82"/>
      <c r="P95" s="82">
        <v>18</v>
      </c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>
        <f t="shared" si="7"/>
        <v>6</v>
      </c>
      <c r="AL95" s="83">
        <f>+(11+12+11+11+11+14+13+12)/8</f>
        <v>11.875</v>
      </c>
      <c r="AM95" s="84">
        <f t="shared" si="0"/>
        <v>111</v>
      </c>
      <c r="AN95" s="121">
        <v>10</v>
      </c>
      <c r="AO95" s="52">
        <f t="shared" si="2"/>
        <v>121</v>
      </c>
      <c r="AP95" s="49">
        <f t="shared" si="6"/>
        <v>127.04422264882065</v>
      </c>
      <c r="AQ95" s="11" t="s">
        <v>189</v>
      </c>
      <c r="AR95" s="22"/>
    </row>
    <row r="96" spans="1:44" ht="13.5">
      <c r="A96" s="43"/>
      <c r="B96" s="90" t="s">
        <v>182</v>
      </c>
      <c r="C96" s="12" t="s">
        <v>239</v>
      </c>
      <c r="D96" s="134" t="s">
        <v>175</v>
      </c>
      <c r="E96" s="13" t="s">
        <v>151</v>
      </c>
      <c r="F96" s="1" t="s">
        <v>74</v>
      </c>
      <c r="G96" s="1"/>
      <c r="H96" s="81" t="s">
        <v>69</v>
      </c>
      <c r="I96" s="82">
        <v>24</v>
      </c>
      <c r="J96" s="82">
        <v>22</v>
      </c>
      <c r="K96" s="82">
        <v>16</v>
      </c>
      <c r="L96" s="82"/>
      <c r="M96" s="82">
        <v>21</v>
      </c>
      <c r="N96" s="82">
        <v>23</v>
      </c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>
        <f t="shared" si="7"/>
        <v>5</v>
      </c>
      <c r="AL96" s="83">
        <f>+(12+7+12+10+10+10+9+13+12)/9</f>
        <v>10.555555555555555</v>
      </c>
      <c r="AM96" s="84">
        <f t="shared" si="0"/>
        <v>106</v>
      </c>
      <c r="AN96" s="121">
        <v>10</v>
      </c>
      <c r="AO96" s="52">
        <f t="shared" si="2"/>
        <v>116</v>
      </c>
      <c r="AP96" s="49">
        <f t="shared" si="6"/>
        <v>137.01876905513302</v>
      </c>
      <c r="AQ96" s="11" t="s">
        <v>4</v>
      </c>
      <c r="AR96" s="22"/>
    </row>
    <row r="97" spans="1:44" ht="13.5">
      <c r="A97" s="43"/>
      <c r="B97" s="90" t="s">
        <v>183</v>
      </c>
      <c r="C97" s="12" t="s">
        <v>178</v>
      </c>
      <c r="D97" s="134" t="s">
        <v>174</v>
      </c>
      <c r="E97" s="13" t="s">
        <v>139</v>
      </c>
      <c r="F97" s="1" t="s">
        <v>201</v>
      </c>
      <c r="G97" s="1"/>
      <c r="H97" s="81" t="s">
        <v>69</v>
      </c>
      <c r="I97" s="82">
        <v>20</v>
      </c>
      <c r="J97" s="82"/>
      <c r="K97" s="82">
        <v>17</v>
      </c>
      <c r="L97" s="82"/>
      <c r="M97" s="82">
        <v>21</v>
      </c>
      <c r="N97" s="82">
        <v>23</v>
      </c>
      <c r="O97" s="82"/>
      <c r="P97" s="82">
        <v>23</v>
      </c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>
        <f t="shared" si="7"/>
        <v>5</v>
      </c>
      <c r="AL97" s="83">
        <v>9</v>
      </c>
      <c r="AM97" s="84">
        <f t="shared" si="0"/>
        <v>104</v>
      </c>
      <c r="AN97" s="121">
        <v>10</v>
      </c>
      <c r="AO97" s="52">
        <f t="shared" si="2"/>
        <v>114</v>
      </c>
      <c r="AP97" s="49">
        <f t="shared" si="6"/>
        <v>157.93031809994577</v>
      </c>
      <c r="AQ97" s="11" t="s">
        <v>3</v>
      </c>
      <c r="AR97" s="22"/>
    </row>
    <row r="98" spans="1:44" ht="13.5">
      <c r="A98" s="43">
        <v>93</v>
      </c>
      <c r="B98" s="90" t="s">
        <v>181</v>
      </c>
      <c r="C98" s="12" t="s">
        <v>240</v>
      </c>
      <c r="D98" s="134" t="s">
        <v>237</v>
      </c>
      <c r="E98" s="13" t="s">
        <v>124</v>
      </c>
      <c r="F98" s="40" t="s">
        <v>79</v>
      </c>
      <c r="G98" s="1"/>
      <c r="H98" s="81" t="s">
        <v>70</v>
      </c>
      <c r="I98" s="82"/>
      <c r="J98" s="82">
        <v>23</v>
      </c>
      <c r="K98" s="82">
        <v>19</v>
      </c>
      <c r="L98" s="82">
        <v>19</v>
      </c>
      <c r="M98" s="82"/>
      <c r="N98" s="82">
        <v>22</v>
      </c>
      <c r="O98" s="82">
        <v>18</v>
      </c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>
        <f t="shared" si="7"/>
        <v>5</v>
      </c>
      <c r="AL98" s="83">
        <f>+(10+10+10+13)/4</f>
        <v>10.75</v>
      </c>
      <c r="AM98" s="84">
        <f t="shared" si="0"/>
        <v>101</v>
      </c>
      <c r="AN98" s="122">
        <v>9</v>
      </c>
      <c r="AO98" s="52">
        <f t="shared" si="2"/>
        <v>110</v>
      </c>
      <c r="AP98" s="49">
        <f t="shared" si="3"/>
        <v>127.58140752260002</v>
      </c>
      <c r="AQ98" s="11" t="s">
        <v>189</v>
      </c>
      <c r="AR98" s="22"/>
    </row>
    <row r="99" spans="1:44" ht="13.5">
      <c r="A99" s="43">
        <v>78</v>
      </c>
      <c r="B99" s="45" t="s">
        <v>176</v>
      </c>
      <c r="C99" s="12" t="s">
        <v>179</v>
      </c>
      <c r="D99" s="134" t="s">
        <v>238</v>
      </c>
      <c r="E99" s="13" t="s">
        <v>179</v>
      </c>
      <c r="F99" s="1" t="s">
        <v>288</v>
      </c>
      <c r="G99" s="1"/>
      <c r="H99" s="81" t="s">
        <v>73</v>
      </c>
      <c r="I99" s="82"/>
      <c r="J99" s="82"/>
      <c r="K99" s="82"/>
      <c r="L99" s="82"/>
      <c r="M99" s="82"/>
      <c r="N99" s="82"/>
      <c r="O99" s="82">
        <v>4</v>
      </c>
      <c r="P99" s="82"/>
      <c r="Q99" s="82"/>
      <c r="R99" s="82"/>
      <c r="S99" s="82">
        <v>22</v>
      </c>
      <c r="T99" s="82">
        <v>25</v>
      </c>
      <c r="U99" s="82">
        <v>20</v>
      </c>
      <c r="V99" s="82">
        <v>25</v>
      </c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>
        <f t="shared" si="1"/>
        <v>5</v>
      </c>
      <c r="AL99" s="83">
        <f>+(13+12+12)/3</f>
        <v>12.333333333333334</v>
      </c>
      <c r="AM99" s="84">
        <f t="shared" si="0"/>
        <v>96</v>
      </c>
      <c r="AN99" s="123">
        <v>0</v>
      </c>
      <c r="AO99" s="52">
        <f t="shared" si="2"/>
        <v>96</v>
      </c>
      <c r="AP99" s="49">
        <f t="shared" si="3"/>
        <v>97.04964071006624</v>
      </c>
      <c r="AQ99" s="11"/>
      <c r="AR99" s="22"/>
    </row>
    <row r="100" spans="1:44" ht="14.25" thickBot="1">
      <c r="A100" s="43"/>
      <c r="B100" s="46"/>
      <c r="C100" s="23" t="s">
        <v>241</v>
      </c>
      <c r="D100" s="134" t="s">
        <v>239</v>
      </c>
      <c r="E100" s="24" t="s">
        <v>240</v>
      </c>
      <c r="F100" s="25" t="s">
        <v>287</v>
      </c>
      <c r="G100" s="25"/>
      <c r="H100" s="85" t="s">
        <v>69</v>
      </c>
      <c r="I100" s="86">
        <v>21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>
        <v>25</v>
      </c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>
        <f t="shared" si="1"/>
        <v>2</v>
      </c>
      <c r="AL100" s="87">
        <v>10</v>
      </c>
      <c r="AM100" s="88">
        <f>+(14+15+13+10+8+8+6+12+13+10+8)/11</f>
        <v>10.636363636363637</v>
      </c>
      <c r="AN100" s="123">
        <v>0</v>
      </c>
      <c r="AO100" s="53">
        <f>SUM(AM100:AN100)</f>
        <v>10.636363636363637</v>
      </c>
      <c r="AP100" s="49">
        <f t="shared" si="3"/>
        <v>13.261612835665304</v>
      </c>
      <c r="AQ100" s="11"/>
      <c r="AR100" s="22"/>
    </row>
    <row r="101" spans="1:44" ht="14.25" thickBot="1">
      <c r="A101" s="26"/>
      <c r="B101" s="27" t="s">
        <v>316</v>
      </c>
      <c r="C101" s="28"/>
      <c r="D101" s="135"/>
      <c r="E101" s="117">
        <f>COUNTA(E3:E100)</f>
        <v>98</v>
      </c>
      <c r="F101" s="70"/>
      <c r="G101" s="71"/>
      <c r="H101" s="109" t="s">
        <v>312</v>
      </c>
      <c r="I101" s="101">
        <f aca="true" t="shared" si="8" ref="I101:AJ101">COUNTA(I3:I100)</f>
        <v>61</v>
      </c>
      <c r="J101" s="102">
        <f t="shared" si="8"/>
        <v>51</v>
      </c>
      <c r="K101" s="102">
        <f t="shared" si="8"/>
        <v>55</v>
      </c>
      <c r="L101" s="102">
        <f t="shared" si="8"/>
        <v>41</v>
      </c>
      <c r="M101" s="102">
        <f t="shared" si="8"/>
        <v>58</v>
      </c>
      <c r="N101" s="102">
        <f t="shared" si="8"/>
        <v>57</v>
      </c>
      <c r="O101" s="102">
        <f t="shared" si="8"/>
        <v>55</v>
      </c>
      <c r="P101" s="102">
        <f t="shared" si="8"/>
        <v>53</v>
      </c>
      <c r="Q101" s="102">
        <f t="shared" si="8"/>
        <v>56</v>
      </c>
      <c r="R101" s="102">
        <f t="shared" si="8"/>
        <v>72</v>
      </c>
      <c r="S101" s="102">
        <f t="shared" si="8"/>
        <v>59</v>
      </c>
      <c r="T101" s="102">
        <f t="shared" si="8"/>
        <v>75</v>
      </c>
      <c r="U101" s="102">
        <f t="shared" si="8"/>
        <v>78</v>
      </c>
      <c r="V101" s="102">
        <f t="shared" si="8"/>
        <v>57</v>
      </c>
      <c r="W101" s="102">
        <f t="shared" si="8"/>
        <v>69</v>
      </c>
      <c r="X101" s="102">
        <f t="shared" si="8"/>
        <v>56</v>
      </c>
      <c r="Y101" s="102">
        <f t="shared" si="8"/>
        <v>62</v>
      </c>
      <c r="Z101" s="102">
        <f t="shared" si="8"/>
        <v>61</v>
      </c>
      <c r="AA101" s="102">
        <f t="shared" si="8"/>
        <v>64</v>
      </c>
      <c r="AB101" s="102">
        <f t="shared" si="8"/>
        <v>52</v>
      </c>
      <c r="AC101" s="102">
        <f t="shared" si="8"/>
        <v>60</v>
      </c>
      <c r="AD101" s="102">
        <f t="shared" si="8"/>
        <v>62</v>
      </c>
      <c r="AE101" s="102">
        <f t="shared" si="8"/>
        <v>62</v>
      </c>
      <c r="AF101" s="102">
        <f t="shared" si="8"/>
        <v>58</v>
      </c>
      <c r="AG101" s="102">
        <f t="shared" si="8"/>
        <v>66</v>
      </c>
      <c r="AH101" s="102">
        <f t="shared" si="8"/>
        <v>54</v>
      </c>
      <c r="AI101" s="102">
        <f t="shared" si="8"/>
        <v>58</v>
      </c>
      <c r="AJ101" s="103">
        <f t="shared" si="8"/>
        <v>64</v>
      </c>
      <c r="AK101" s="112"/>
      <c r="AL101" s="118">
        <f>AVERAGE(AL3:AL100)</f>
        <v>12.468183007890456</v>
      </c>
      <c r="AM101" s="29"/>
      <c r="AN101" s="120" t="s">
        <v>318</v>
      </c>
      <c r="AO101" s="119"/>
      <c r="AP101" s="113"/>
      <c r="AQ101" s="114"/>
      <c r="AR101" s="115"/>
    </row>
    <row r="102" spans="5:38" ht="13.5" thickBot="1">
      <c r="E102" s="116" t="s">
        <v>310</v>
      </c>
      <c r="F102" s="56"/>
      <c r="G102" s="56"/>
      <c r="H102" s="110" t="s">
        <v>313</v>
      </c>
      <c r="I102" s="104">
        <v>8</v>
      </c>
      <c r="J102" s="105">
        <v>16</v>
      </c>
      <c r="K102" s="105">
        <v>14</v>
      </c>
      <c r="L102" s="105">
        <v>17</v>
      </c>
      <c r="M102" s="105">
        <v>11</v>
      </c>
      <c r="N102" s="105">
        <v>12</v>
      </c>
      <c r="O102" s="105">
        <v>14</v>
      </c>
      <c r="P102" s="105">
        <v>15</v>
      </c>
      <c r="Q102" s="105">
        <v>13</v>
      </c>
      <c r="R102" s="105">
        <v>3</v>
      </c>
      <c r="S102" s="105">
        <v>10</v>
      </c>
      <c r="T102" s="105">
        <v>2</v>
      </c>
      <c r="U102" s="105">
        <v>1</v>
      </c>
      <c r="V102" s="105">
        <v>12</v>
      </c>
      <c r="W102" s="105">
        <v>4</v>
      </c>
      <c r="X102" s="105">
        <v>13</v>
      </c>
      <c r="Y102" s="105">
        <v>7</v>
      </c>
      <c r="Z102" s="105">
        <v>8</v>
      </c>
      <c r="AA102" s="105">
        <v>6</v>
      </c>
      <c r="AB102" s="105">
        <v>16</v>
      </c>
      <c r="AC102" s="105">
        <v>9</v>
      </c>
      <c r="AD102" s="105">
        <v>7</v>
      </c>
      <c r="AE102" s="105">
        <v>7</v>
      </c>
      <c r="AF102" s="105">
        <v>11</v>
      </c>
      <c r="AG102" s="105">
        <v>5</v>
      </c>
      <c r="AH102" s="105">
        <v>15</v>
      </c>
      <c r="AI102" s="105">
        <v>10</v>
      </c>
      <c r="AJ102" s="106">
        <v>6</v>
      </c>
      <c r="AK102" s="98"/>
      <c r="AL102" s="99"/>
    </row>
    <row r="103" spans="5:38" ht="12.75">
      <c r="E103" s="72"/>
      <c r="F103" s="73" t="s">
        <v>304</v>
      </c>
      <c r="G103" s="74"/>
      <c r="H103" s="75">
        <v>98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38"/>
    </row>
    <row r="104" spans="5:38" ht="12.75">
      <c r="E104" s="72"/>
      <c r="F104" s="108" t="s">
        <v>305</v>
      </c>
      <c r="G104" s="60"/>
      <c r="H104" s="62">
        <v>561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38"/>
    </row>
    <row r="105" spans="5:20" ht="13.5" thickBot="1">
      <c r="E105" s="72"/>
      <c r="F105" s="108" t="s">
        <v>306</v>
      </c>
      <c r="G105" s="60"/>
      <c r="H105" s="62">
        <v>13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5:20" ht="13.5" thickBot="1">
      <c r="E106" s="72"/>
      <c r="F106" s="108" t="s">
        <v>307</v>
      </c>
      <c r="G106" s="60"/>
      <c r="H106" s="61" t="s">
        <v>308</v>
      </c>
      <c r="I106" s="64" t="s">
        <v>86</v>
      </c>
      <c r="J106" s="64"/>
      <c r="K106" s="64"/>
      <c r="L106" s="64"/>
      <c r="M106" s="65"/>
      <c r="N106" s="54"/>
      <c r="O106" s="54"/>
      <c r="P106" s="54"/>
      <c r="Q106" s="54"/>
      <c r="R106" s="54"/>
      <c r="S106" s="54"/>
      <c r="T106" s="54"/>
    </row>
    <row r="107" spans="5:8" ht="12.75">
      <c r="E107" s="72"/>
      <c r="F107" s="76" t="s">
        <v>295</v>
      </c>
      <c r="G107" s="60"/>
      <c r="H107" s="63" t="s">
        <v>189</v>
      </c>
    </row>
    <row r="108" spans="5:20" ht="12.75">
      <c r="E108" s="72"/>
      <c r="F108" s="76" t="s">
        <v>296</v>
      </c>
      <c r="G108" s="60"/>
      <c r="H108" s="63" t="s">
        <v>16</v>
      </c>
      <c r="I108" s="55"/>
      <c r="J108" s="55"/>
      <c r="K108" s="54"/>
      <c r="L108" s="54"/>
      <c r="M108" s="54"/>
      <c r="N108" s="54"/>
      <c r="O108" s="54"/>
      <c r="P108" s="54"/>
      <c r="Q108" s="54"/>
      <c r="R108" s="54"/>
      <c r="S108" s="55"/>
      <c r="T108" s="54"/>
    </row>
    <row r="109" spans="5:20" ht="12.75">
      <c r="E109" s="72"/>
      <c r="F109" s="76" t="s">
        <v>297</v>
      </c>
      <c r="G109" s="60"/>
      <c r="H109" s="63" t="s">
        <v>9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5:8" ht="12.75">
      <c r="E110" s="72"/>
      <c r="F110" s="76" t="s">
        <v>303</v>
      </c>
      <c r="G110" s="60"/>
      <c r="H110" s="63" t="s">
        <v>187</v>
      </c>
    </row>
    <row r="111" spans="5:8" ht="13.5" thickBot="1">
      <c r="E111" s="72"/>
      <c r="F111" s="140" t="s">
        <v>302</v>
      </c>
      <c r="G111" s="137"/>
      <c r="H111" s="141" t="s">
        <v>189</v>
      </c>
    </row>
    <row r="112" spans="5:14" ht="13.5" thickBot="1">
      <c r="E112" s="72"/>
      <c r="F112" s="144" t="s">
        <v>298</v>
      </c>
      <c r="G112" s="56"/>
      <c r="H112" s="100" t="s">
        <v>301</v>
      </c>
      <c r="I112" s="56" t="s">
        <v>309</v>
      </c>
      <c r="J112" s="56"/>
      <c r="K112" s="56"/>
      <c r="L112" s="56"/>
      <c r="M112" s="56"/>
      <c r="N112" s="69"/>
    </row>
    <row r="113" spans="5:15" ht="13.5" thickBot="1">
      <c r="E113" s="72"/>
      <c r="F113" s="142" t="s">
        <v>299</v>
      </c>
      <c r="G113" s="67"/>
      <c r="H113" s="143" t="s">
        <v>300</v>
      </c>
      <c r="I113" s="138" t="s">
        <v>206</v>
      </c>
      <c r="J113" s="67"/>
      <c r="K113" s="67"/>
      <c r="L113" s="67"/>
      <c r="M113" s="67"/>
      <c r="N113" s="68"/>
      <c r="O113" s="57"/>
    </row>
    <row r="114" spans="6:12" ht="13.5" thickBot="1">
      <c r="F114" s="58" t="s">
        <v>314</v>
      </c>
      <c r="G114" s="59"/>
      <c r="H114" s="145" t="s">
        <v>227</v>
      </c>
      <c r="I114" s="59"/>
      <c r="J114" s="59"/>
      <c r="K114" s="59"/>
      <c r="L114" s="139"/>
    </row>
    <row r="115" spans="6:12" ht="13.5" thickBot="1">
      <c r="F115" s="66" t="s">
        <v>319</v>
      </c>
      <c r="G115" s="67"/>
      <c r="H115" s="138" t="s">
        <v>86</v>
      </c>
      <c r="I115" s="64"/>
      <c r="J115" s="67"/>
      <c r="K115" s="67"/>
      <c r="L115" s="68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&amp;C&amp;"Arial,Bold"&amp;12Nite Hike 2005
Results in Placement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L Scherk</cp:lastModifiedBy>
  <cp:lastPrinted>2007-05-06T02:33:30Z</cp:lastPrinted>
  <dcterms:created xsi:type="dcterms:W3CDTF">2005-05-07T19:47:33Z</dcterms:created>
  <dcterms:modified xsi:type="dcterms:W3CDTF">2005-05-15T22:48:17Z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